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VORN" sheetId="2" r:id="rId2"/>
    <sheet name="Rozpočet - objekty" sheetId="3" r:id="rId3"/>
    <sheet name="Rozpočet - skupiny" sheetId="4" r:id="rId4"/>
    <sheet name="Stavební rozpočet" sheetId="5" r:id="rId5"/>
    <sheet name="Výkaz výměr" sheetId="6" r:id="rId6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<sst xmlns="http://schemas.openxmlformats.org/spreadsheetml/2006/main" count="1824" uniqueCount="576">
  <si>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</si>
  <si>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</si>
  <si>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</si>
  <si>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</si>
  <si>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</si>
  <si>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</si>
  <si>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</si>
  <si>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</si>
  <si>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</si>
  <si>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</si>
  <si>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</si>
  <si>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</si>
  <si>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</si>
  <si>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</si>
  <si>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</si>
  <si>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</si>
  <si>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</si>
  <si>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</si>
  <si>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</si>
  <si>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</si>
  <si>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</si>
  <si>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</si>
  <si>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</si>
  <si>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</si>
  <si>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</si>
  <si>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</si>
  <si>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</si>
  <si>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</si>
  <si>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</si>
  <si>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</si>
  <si>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</si>
  <si>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</si>
  <si>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</si>
  <si>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</si>
  <si>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</si>
  <si>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</si>
  <si>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</si>
  <si>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</si>
  <si>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</si>
  <si>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</si>
  <si>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</si>
  <si>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</si>
  <si>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</si>
  <si>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</si>
  <si>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</si>
  <si>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ORN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</si>
  <si>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</si>
  <si>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</si>
  <si>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</si>
  <si>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</si>
  <si>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</si>
  <si>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</si>
  <si>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</si>
  <si>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002961139/</t>
  </si>
  <si>
    <t>86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</si>
  <si>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</si>
  <si>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</si>
  <si>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</si>
  <si>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</si>
  <si>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</si>
  <si>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</si>
  <si>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</si>
  <si>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</si>
  <si>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</si>
  <si>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</si>
  <si>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</si>
  <si>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</si>
  <si>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 - Jen objekty celkem</t>
  </si>
  <si>
    <t xml:space="preserve"> </t>
  </si>
  <si>
    <t>Objekt</t>
  </si>
  <si>
    <t>SO 01</t>
  </si>
  <si>
    <t>Zkrácený popis</t>
  </si>
  <si>
    <t>Oplocení, MŠ Gorkého, Krnov</t>
  </si>
  <si>
    <t>Doba výstavby:</t>
  </si>
  <si>
    <t>Zpracováno dne:</t>
  </si>
  <si>
    <t>Náklady (Kč)</t>
  </si>
  <si>
    <t>Dodávka</t>
  </si>
  <si>
    <t>Celkem:</t>
  </si>
  <si>
    <t>Celkem</t>
  </si>
  <si>
    <t>Hmotnost (t)</t>
  </si>
  <si>
    <t>F</t>
  </si>
  <si>
    <t>Slepý stavební rozpočet - Jen skupiny</t>
  </si>
  <si>
    <t>Kód</t>
  </si>
  <si>
    <t>1</t>
  </si>
  <si>
    <t>2</t>
  </si>
  <si>
    <t>3</t>
  </si>
  <si>
    <t>5</t>
  </si>
  <si>
    <t>6</t>
  </si>
  <si>
    <t>71</t>
  </si>
  <si>
    <t>76</t>
  </si>
  <si>
    <t>78</t>
  </si>
  <si>
    <t>9</t>
  </si>
  <si>
    <t>Zemní práce</t>
  </si>
  <si>
    <t>Základy, zvláštní zakládání, zpevňování hornin</t>
  </si>
  <si>
    <t>Svislé a kompletní konstrukce</t>
  </si>
  <si>
    <t>Komunikace</t>
  </si>
  <si>
    <t>Úpravy povrchů a osazování výplní otvorů</t>
  </si>
  <si>
    <t>Izolace</t>
  </si>
  <si>
    <t>Konstrukce</t>
  </si>
  <si>
    <t>Dokončovací práce</t>
  </si>
  <si>
    <t>Dokončovací práce, demolice</t>
  </si>
  <si>
    <t>T</t>
  </si>
  <si>
    <t>Slepý stavební rozpočet</t>
  </si>
  <si>
    <t>Č</t>
  </si>
  <si>
    <t>4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</si>
  <si>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</si>
  <si>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</si>
  <si>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</si>
  <si>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</si>
  <si>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</si>
  <si>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</si>
  <si>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</si>
  <si>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</si>
  <si>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</si>
  <si>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</si>
  <si>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</si>
  <si>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</si>
  <si>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</si>
  <si>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</si>
  <si>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</si>
  <si>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</si>
  <si>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</si>
  <si>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</si>
  <si>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</si>
  <si>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</si>
  <si>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</si>
  <si>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</si>
  <si>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</si>
  <si>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</si>
  <si>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</si>
  <si>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</si>
  <si>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</si>
  <si>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</si>
  <si>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</si>
  <si>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</si>
  <si>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</si>
  <si>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</si>
  <si>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</si>
  <si>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</si>
  <si>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</si>
  <si>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</si>
  <si>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</si>
  <si>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</si>
  <si>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</si>
  <si>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</si>
  <si>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</si>
  <si>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</si>
  <si>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</si>
  <si>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</si>
  <si>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</si>
  <si>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</si>
  <si>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</si>
  <si>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</si>
  <si>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</si>
  <si>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</si>
  <si>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</si>
  <si>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</si>
  <si>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</si>
  <si>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</si>
  <si>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</si>
  <si>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</si>
  <si>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</si>
  <si>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</si>
  <si>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</si>
  <si>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</si>
  <si>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</si>
  <si>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</si>
  <si>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</si>
  <si>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</si>
  <si>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</si>
  <si>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</si>
  <si>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</si>
  <si>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77</t>
  </si>
  <si>
    <t>79</t>
  </si>
  <si>
    <t>80</t>
  </si>
  <si>
    <t>81</t>
  </si>
  <si>
    <t>82</t>
  </si>
  <si>
    <t>83</t>
  </si>
  <si>
    <t>84</t>
  </si>
  <si>
    <t>85</t>
  </si>
  <si>
    <t>111301111R00</t>
  </si>
  <si>
    <t>113106231R00</t>
  </si>
  <si>
    <t>122201101R00</t>
  </si>
  <si>
    <t>122207119R00</t>
  </si>
  <si>
    <t>132201110R00</t>
  </si>
  <si>
    <t>132201119R00</t>
  </si>
  <si>
    <t>167101201R00</t>
  </si>
  <si>
    <t>162201102R00</t>
  </si>
  <si>
    <t>167101101R00</t>
  </si>
  <si>
    <t>162606212R00</t>
  </si>
  <si>
    <t>162702199R00</t>
  </si>
  <si>
    <t>181301101R00</t>
  </si>
  <si>
    <t>180402111R00</t>
  </si>
  <si>
    <t>272311116R00</t>
  </si>
  <si>
    <t>998152121R00</t>
  </si>
  <si>
    <t>311231114RT2</t>
  </si>
  <si>
    <t>998153131R00</t>
  </si>
  <si>
    <t>331231114R00</t>
  </si>
  <si>
    <t>338261125RT2</t>
  </si>
  <si>
    <t>345232122RT1</t>
  </si>
  <si>
    <t>596100030RAF</t>
  </si>
  <si>
    <t>596291111R00</t>
  </si>
  <si>
    <t>998222012R00</t>
  </si>
  <si>
    <t>591040024RA0</t>
  </si>
  <si>
    <t>596291113R00</t>
  </si>
  <si>
    <t>998223011R00</t>
  </si>
  <si>
    <t>596811111R00</t>
  </si>
  <si>
    <t>622454111R00</t>
  </si>
  <si>
    <t>620401161R00</t>
  </si>
  <si>
    <t>622451131R00</t>
  </si>
  <si>
    <t>620452111R00</t>
  </si>
  <si>
    <t>622471317RP1</t>
  </si>
  <si>
    <t>998011001R00</t>
  </si>
  <si>
    <t>711</t>
  </si>
  <si>
    <t>711111001RZ1</t>
  </si>
  <si>
    <t>711131101RT1</t>
  </si>
  <si>
    <t>62832131</t>
  </si>
  <si>
    <t>998711101R00</t>
  </si>
  <si>
    <t>767</t>
  </si>
  <si>
    <t>767996801R00</t>
  </si>
  <si>
    <t>767662210R00</t>
  </si>
  <si>
    <t>767585101R00</t>
  </si>
  <si>
    <t>767995103R00</t>
  </si>
  <si>
    <t>13211240</t>
  </si>
  <si>
    <t>13226500</t>
  </si>
  <si>
    <t>13611210</t>
  </si>
  <si>
    <t>154411698VD</t>
  </si>
  <si>
    <t>154411697VD</t>
  </si>
  <si>
    <t>154411696VD</t>
  </si>
  <si>
    <t>1565534VD</t>
  </si>
  <si>
    <t>13756545</t>
  </si>
  <si>
    <t>13530820</t>
  </si>
  <si>
    <t>16312583VD</t>
  </si>
  <si>
    <t>767425163R00</t>
  </si>
  <si>
    <t>5531203131</t>
  </si>
  <si>
    <t>13285050</t>
  </si>
  <si>
    <t>311110190000</t>
  </si>
  <si>
    <t>31171802.A</t>
  </si>
  <si>
    <t>14314124</t>
  </si>
  <si>
    <t>14135383</t>
  </si>
  <si>
    <t>311733325</t>
  </si>
  <si>
    <t>37538229VD</t>
  </si>
  <si>
    <t>60623353</t>
  </si>
  <si>
    <t>998767101R00</t>
  </si>
  <si>
    <t>783</t>
  </si>
  <si>
    <t>783903811R00</t>
  </si>
  <si>
    <t>783226100R00</t>
  </si>
  <si>
    <t>783225100R00</t>
  </si>
  <si>
    <t>783921520R00</t>
  </si>
  <si>
    <t>91</t>
  </si>
  <si>
    <t>917862111R00</t>
  </si>
  <si>
    <t>919722111R00</t>
  </si>
  <si>
    <t>911340121R00</t>
  </si>
  <si>
    <t>74910624</t>
  </si>
  <si>
    <t>93</t>
  </si>
  <si>
    <t>938902122R00</t>
  </si>
  <si>
    <t>931978111R00</t>
  </si>
  <si>
    <t>763797101R00</t>
  </si>
  <si>
    <t>24638021</t>
  </si>
  <si>
    <t>96</t>
  </si>
  <si>
    <t>962032231R00</t>
  </si>
  <si>
    <t>961044111R00</t>
  </si>
  <si>
    <t>962095212R00</t>
  </si>
  <si>
    <t>97</t>
  </si>
  <si>
    <t>978015231R00</t>
  </si>
  <si>
    <t>S</t>
  </si>
  <si>
    <t>979088212R00</t>
  </si>
  <si>
    <t>979091111R00</t>
  </si>
  <si>
    <t>979091121R00</t>
  </si>
  <si>
    <t>979093111R00</t>
  </si>
  <si>
    <t>979990001R00</t>
  </si>
  <si>
    <t>Oprava oplocení MŠ Gorkého, Krnov</t>
  </si>
  <si>
    <t>Rekonstrukce s opravou</t>
  </si>
  <si>
    <t>Krnov</t>
  </si>
  <si>
    <t>Zkrácený popis / Varianta</t>
  </si>
  <si>
    <t>Rozměry</t>
  </si>
  <si>
    <t>Přípravné a přidružené práce</t>
  </si>
  <si>
    <t>Sejmutí drnu tl. do 10 cm, s přemístěním do 50 m</t>
  </si>
  <si>
    <t>Rozebrání dlažby v kamenivu</t>
  </si>
  <si>
    <t>Úprava plochy v místě elektricky otvírané branky,
zpevněné plochy v místě nového oplocení</t>
  </si>
  <si>
    <t>Odkopávky a prokopávky</t>
  </si>
  <si>
    <t>Odkopávky nezapažené v hor. 3 do 100 m3</t>
  </si>
  <si>
    <t>Příplatek za lepivost horniny 3</t>
  </si>
  <si>
    <t>Hloubené vykopávky</t>
  </si>
  <si>
    <t>Hloubení rýh š.do 60 cm v hor.3 do 50 m3, STROJNĚ</t>
  </si>
  <si>
    <t>Přípl.za lepivost,hloubení rýh 60 cm,hor.3,STROJNĚ</t>
  </si>
  <si>
    <t>Přemístění výkopku</t>
  </si>
  <si>
    <t>Nakládání výkopku z hor.1 ÷ 4 - ručně</t>
  </si>
  <si>
    <t>Vodorovné přemístění výkopku z hor.1-4 do 50 m</t>
  </si>
  <si>
    <t>Nakládání výkopku z hor.1-4 v množství do 100 m3</t>
  </si>
  <si>
    <t>Vodorovné přemístění kamenouh. hlušiny do 5000 m</t>
  </si>
  <si>
    <t>Poplatek za skládku zeminy</t>
  </si>
  <si>
    <t>Povrchové úpravy terénu</t>
  </si>
  <si>
    <t>Rozprostření ornice, rovina, tl. do 10 cm do 500m2</t>
  </si>
  <si>
    <t>Založení trávníku parkového výsevem v rovině</t>
  </si>
  <si>
    <t>Základy</t>
  </si>
  <si>
    <t>Beton základ. kleneb prostý z cem. portlad. C16/20</t>
  </si>
  <si>
    <t>Přesun hmot, oplocení, zvláštní obj. monol.</t>
  </si>
  <si>
    <t>Zdi podpěrné a volné</t>
  </si>
  <si>
    <t>Zdivo nosné cihelné z CP 29 P15 na MVC 2,5</t>
  </si>
  <si>
    <t>tloušťka zdiva 30 cm</t>
  </si>
  <si>
    <t>Přesun hmot, zdi a valy samostatné zděné do 20 m</t>
  </si>
  <si>
    <t>Sloupy a pilíře, stožáry a rámové stojky</t>
  </si>
  <si>
    <t>Zdivo pilířů cihelné z CP 29 P15 na MVC</t>
  </si>
  <si>
    <t>Stříška plotového pilíře 400x400 mm</t>
  </si>
  <si>
    <t>zákrytová deska ZDP 3-30 hladká, přírodní</t>
  </si>
  <si>
    <t>Stěny a příčky</t>
  </si>
  <si>
    <t>Stříška plotu ze zákrytových desek, šířka 400 mm</t>
  </si>
  <si>
    <t>včetně dodávky desek ZD 1 - 30 a ZD 2 - 30</t>
  </si>
  <si>
    <t>Podkladní vrstvy komunikací a zpevněných ploch</t>
  </si>
  <si>
    <t>Chodník z dlažby betonové, podklad štěrkodrť</t>
  </si>
  <si>
    <t>dlažba HBB 30 x 30 x 4 cm</t>
  </si>
  <si>
    <t>Řezání dlažby tl. 60 mm</t>
  </si>
  <si>
    <t>Přesun hmot, zpevněné plochy, kryt z kameniva</t>
  </si>
  <si>
    <t>Dlažby a předlažby pozemních komunikací a zpevněných ploch</t>
  </si>
  <si>
    <t>Komunikace dlážděné D1-D-2-V-PIII, betonová zatravňovací</t>
  </si>
  <si>
    <t>Řezání dlažby tl. 80 mm</t>
  </si>
  <si>
    <t>Přesun hmot, pozemní komunikace, kryt dlážděný</t>
  </si>
  <si>
    <t>Kladení dlaždic kom.pro pěší, lože z kameniva těž.</t>
  </si>
  <si>
    <t>Zpětná pokládka dlažby rozebrané kolem elektrické brány a zpevněné plochy v mistě nového oplocení.</t>
  </si>
  <si>
    <t>Úprava povrchů vnější</t>
  </si>
  <si>
    <t>Oprava vnějších omítek cement.,hladkých do 10 %</t>
  </si>
  <si>
    <t>Oprava vnějších omítkem hrubá do 10cm, 
Včetně oprav trhlin zdiva současného.</t>
  </si>
  <si>
    <t>Nátěr hydrofobizační 1x</t>
  </si>
  <si>
    <t>Omítka vnější stěn, MC, hladká, složitost 1 - 2</t>
  </si>
  <si>
    <t>Sanace</t>
  </si>
  <si>
    <t>Omítka cementová ochranná</t>
  </si>
  <si>
    <t>Sanační jemnozrnná omítka dle PD a daného výrobce, dle technologie a zvolené varianty</t>
  </si>
  <si>
    <t>Nátěr nebo nástřik stěn vnějších, složitost 1 - 2</t>
  </si>
  <si>
    <t>Jednáse o sjednocující šedý nátě dle PD a odsouhlaseného výběru zadavatelem.</t>
  </si>
  <si>
    <t>Přesun hmot pro budovy zděné výšky do 6 m</t>
  </si>
  <si>
    <t>Izolace proti vodě</t>
  </si>
  <si>
    <t>Izolace proti vlhkosti vodor. nátěr ALP za studena</t>
  </si>
  <si>
    <t>1x nátěr - včetně dodávky penetračního laku ALP</t>
  </si>
  <si>
    <t>Izolace proti vlhkosti vodorovná pásy na sucho</t>
  </si>
  <si>
    <t>1 vrstva - asfaltový pás ve specifikaci</t>
  </si>
  <si>
    <t>Pás asfaltovaný těžký 30 mineral V 60 S 30</t>
  </si>
  <si>
    <t>Přesun hmot pro izolace proti vodě, výšky do 6 m</t>
  </si>
  <si>
    <t>Konstrukce doplňkové stavební (zámečnické)</t>
  </si>
  <si>
    <t>Demontáž atypických ocelových konstr. do 50 kg</t>
  </si>
  <si>
    <t>Montáž mříží, vrat otvíravých</t>
  </si>
  <si>
    <t>Montáž pomocných konstrukcí-svařováním</t>
  </si>
  <si>
    <t>Výroba a montáž kov. atypických konstr. do 20 kg</t>
  </si>
  <si>
    <t>Tyč ocelová kruhová jakost S235  D 12 mm</t>
  </si>
  <si>
    <t>Tyč ocelová plochá jakost S235  40x 5 mm</t>
  </si>
  <si>
    <t>Plech hladký jakost 11375.1  3x1000x2000 mm</t>
  </si>
  <si>
    <t>Profil jakl 11375 60x60xx3 mm</t>
  </si>
  <si>
    <t>Profil jakl 11375 40x40x3 mm</t>
  </si>
  <si>
    <t>Profil jakl 11375 14x14x2 mm</t>
  </si>
  <si>
    <t>Žebérkové pletivo 40 x 40, průměr drátu 3,15 mm</t>
  </si>
  <si>
    <t>Plech hladký jakost 11321.21  1,00x1000x2000 mm</t>
  </si>
  <si>
    <t>Ocel široká jakost S235 JRG2  300x10 mm</t>
  </si>
  <si>
    <t>Ocelový navařovací závěs - pant</t>
  </si>
  <si>
    <t>Montáž kotevních šroubů</t>
  </si>
  <si>
    <t>Závitová tyč ZT 12 l = 2 m ZNCR</t>
  </si>
  <si>
    <t>Tyč žebírková, výztuž do betonu ocel 10425 D 12 mm</t>
  </si>
  <si>
    <t>Matice ocelová pozinkovaná 02 1401.2  M12</t>
  </si>
  <si>
    <t>Kotva chemická - ampule maxima M12</t>
  </si>
  <si>
    <t>Trubka podélně svařovaná hladká 11373  60x3,0 mm</t>
  </si>
  <si>
    <t>Trubky bezešvé hladké jakost 11353.1  D 133x4,0 mm</t>
  </si>
  <si>
    <t>Hmoždinka natloukací 8 x 120, DKM</t>
  </si>
  <si>
    <t>Elektrický zámek a klika</t>
  </si>
  <si>
    <t>Překližka vodovzd. multi tl. 14 mm</t>
  </si>
  <si>
    <t>Přesun hmot pro zámečnické konstr., výšky do 6 m</t>
  </si>
  <si>
    <t>Nátěry</t>
  </si>
  <si>
    <t>Odmaštění chemickými rozpouštědly</t>
  </si>
  <si>
    <t>Nátěr syntetický kovových konstrukcí základní</t>
  </si>
  <si>
    <t>Nátěr syntetický kovových konstrukcí 2x + 1x email</t>
  </si>
  <si>
    <t>Zelený</t>
  </si>
  <si>
    <t>Nátěr syntetický pletiva 2 x + 1x email</t>
  </si>
  <si>
    <t>Doplňující konstrukce a práce na pozemních komunikacích a zpevněných plochách</t>
  </si>
  <si>
    <t>Osazení stojat. obrub.bet. s opěrou,lože z C 12/15</t>
  </si>
  <si>
    <t>Dilatační spáry - řezání, spáry příčné š. 2 - 5 mm</t>
  </si>
  <si>
    <t>Osazení stojanu na kola</t>
  </si>
  <si>
    <t>Montáž, dodávka ve specifikaci.</t>
  </si>
  <si>
    <t>Stojan na kola pozink oboustranný na 6 kol</t>
  </si>
  <si>
    <t>Různé dokončovací konstrukce a práce inženýrských staveb</t>
  </si>
  <si>
    <t>Čištění betonových konstrukcí tlakovou vodou 500 bar</t>
  </si>
  <si>
    <t>Úprava dilatace, konop. provazcem, konstr.do 20 cm</t>
  </si>
  <si>
    <t>Montáž spárování tmelením</t>
  </si>
  <si>
    <t>Tmel rychletuhnoucí jednosložkový šedý</t>
  </si>
  <si>
    <t>Bourání konstrukcí</t>
  </si>
  <si>
    <t>Bourání zdiva z cihel pálených na MVC</t>
  </si>
  <si>
    <t>Bourání základů z betonu prostého</t>
  </si>
  <si>
    <t>Demontáž dílců meziokenních, světlík</t>
  </si>
  <si>
    <t>Prorážení otvorů a ostatní bourací práce</t>
  </si>
  <si>
    <t>Otlučení omítek vnějších MVC v složit.1-4 do 20 %</t>
  </si>
  <si>
    <t>Přesuny sutí</t>
  </si>
  <si>
    <t>Nakládání suti na dopravní prostředky</t>
  </si>
  <si>
    <t>Vodorovné přemístění vybouraných hmot do 7 km</t>
  </si>
  <si>
    <t>Vodorovné přemíst. vybouraných hmot za další 1 km</t>
  </si>
  <si>
    <t>Uložení suti na skládku bez zhutnění</t>
  </si>
  <si>
    <t>Poplatek za skládku stavební suti</t>
  </si>
  <si>
    <t> </t>
  </si>
  <si>
    <t>28.04.2020</t>
  </si>
  <si>
    <t>M.j.</t>
  </si>
  <si>
    <t>m2</t>
  </si>
  <si>
    <t>m3</t>
  </si>
  <si>
    <t>t</t>
  </si>
  <si>
    <t>kus</t>
  </si>
  <si>
    <t>m</t>
  </si>
  <si>
    <t>kg</t>
  </si>
  <si>
    <t>100 ks</t>
  </si>
  <si>
    <t>Množství</t>
  </si>
  <si>
    <t>Jednot.</t>
  </si>
  <si>
    <t>cena (Kč)</t>
  </si>
  <si>
    <t>Město Krnov</t>
  </si>
  <si>
    <t>Ing. Karel Oubělický – OK Project</t>
  </si>
  <si>
    <t>Boris Mičánek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</si>
  <si>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</si>
  <si>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</si>
  <si>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</si>
  <si>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</si>
  <si>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</si>
  <si>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</si>
  <si>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</si>
  <si>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</si>
  <si>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</si>
  <si>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</si>
  <si>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</si>
  <si>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</si>
  <si>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16_</t>
  </si>
  <si>
    <t>18_</t>
  </si>
  <si>
    <t>27_</t>
  </si>
  <si>
    <t>31_</t>
  </si>
  <si>
    <t>33_</t>
  </si>
  <si>
    <t>34_</t>
  </si>
  <si>
    <t>56_</t>
  </si>
  <si>
    <t>59_</t>
  </si>
  <si>
    <t>62_</t>
  </si>
  <si>
    <t>711_</t>
  </si>
  <si>
    <t>767_</t>
  </si>
  <si>
    <t>783_</t>
  </si>
  <si>
    <t>91_</t>
  </si>
  <si>
    <t>93_</t>
  </si>
  <si>
    <t>96_</t>
  </si>
  <si>
    <t>97_</t>
  </si>
  <si>
    <t>S_</t>
  </si>
  <si>
    <t>SO 01_1_</t>
  </si>
  <si>
    <t>SO 01_2_</t>
  </si>
  <si>
    <t>SO 01_3_</t>
  </si>
  <si>
    <t>SO 01_5_</t>
  </si>
  <si>
    <t>SO 01_6_</t>
  </si>
  <si>
    <t>SO 01_71_</t>
  </si>
  <si>
    <t>SO 01_76_</t>
  </si>
  <si>
    <t>SO 01_78_</t>
  </si>
  <si>
    <t>SO 01_9_</t>
  </si>
  <si>
    <t>SO 01_</t>
  </si>
  <si>
    <t>MAT</t>
  </si>
  <si>
    <t>WORK</t>
  </si>
  <si>
    <t>CELK</t>
  </si>
  <si>
    <t>Výkaz výměr</t>
  </si>
  <si>
    <t>13,86</t>
  </si>
  <si>
    <t>86,44</t>
  </si>
  <si>
    <t>5   úprava plochy v místě elektricky otvírané branky</t>
  </si>
  <si>
    <t>5   zpevněné plochy v místě nového oplocení</t>
  </si>
  <si>
    <t>13,86*0,15</t>
  </si>
  <si>
    <t>86,44*0,2</t>
  </si>
  <si>
    <t>19,37/3</t>
  </si>
  <si>
    <t>0,8*0,33*1   Řez A-A"</t>
  </si>
  <si>
    <t>2,675*0,33*1   Řez C-C"</t>
  </si>
  <si>
    <t>1,14/3</t>
  </si>
  <si>
    <t>1,14</t>
  </si>
  <si>
    <t>19,37</t>
  </si>
  <si>
    <t>20   úpravy kolem dlaždění nového</t>
  </si>
  <si>
    <t>2,95</t>
  </si>
  <si>
    <t>0,3*0,55*3   b) nové zdené cásti oplocení, dle Technického popisu</t>
  </si>
  <si>
    <t>0,3*0,3*1   Řez C-C"</t>
  </si>
  <si>
    <t>1,03</t>
  </si>
  <si>
    <t>0,3*0,3*1,73   sloup nový dle PD  Řez A-A"</t>
  </si>
  <si>
    <t>(0,3*0,3*1,725)*2   sloupy nové dle PD Řez C-C"</t>
  </si>
  <si>
    <t>3   Řez A-A" a Řez C-C"</t>
  </si>
  <si>
    <t>0,98</t>
  </si>
  <si>
    <t>2,45*14   včetně dodávky desek dle PD 60*40 cm</t>
  </si>
  <si>
    <t>2,55*24   včetně dodávky desek dle PD 60*40 cm</t>
  </si>
  <si>
    <t>5   včetně dodávky desek dle PD 60*40 cm</t>
  </si>
  <si>
    <t>2*2   včetně dodávky desek dle PD 60*40 cm</t>
  </si>
  <si>
    <t>1   včetně dodávky desek dle PD 60*40 cm</t>
  </si>
  <si>
    <t>1   dodávka dle odsouhlaseného typu, schválení</t>
  </si>
  <si>
    <t>počítáno s prořezem a krácením desek</t>
  </si>
  <si>
    <t>např. ZDP</t>
  </si>
  <si>
    <t>13,86   Včetně zemních pracxí</t>
  </si>
  <si>
    <t>Podklad ze štěrkodrti  15 cm lože z kameniva  5 cm</t>
  </si>
  <si>
    <t>dlažba betonová  4  cm celkem  24 cm</t>
  </si>
  <si>
    <t xml:space="preserve"> Včetně zemních prací.</t>
  </si>
  <si>
    <t>4,65</t>
  </si>
  <si>
    <t>6,19</t>
  </si>
  <si>
    <t>86,44    Kalkulace včetně zemních prací.</t>
  </si>
  <si>
    <t>V kalkulaci je použita dlažba přírodní betonová zatravňovací</t>
  </si>
  <si>
    <t>Skladba dle publikace vydané Ministerstvem dopravy</t>
  </si>
  <si>
    <t>pod č. TP 170  "Navrhování vozovek</t>
  </si>
  <si>
    <t>dlažba  80 mm  L  40 mm SC C 5/6  190 mm MZ  200 mm Cel.510 mm</t>
  </si>
  <si>
    <t>13,6</t>
  </si>
  <si>
    <t>24,73</t>
  </si>
  <si>
    <t>(48,73*0,55)*2   úsek 1</t>
  </si>
  <si>
    <t>(45,06*0,55)*2   úsek 2</t>
  </si>
  <si>
    <t>(9,33*0,55)*2   úsek 3</t>
  </si>
  <si>
    <t>((0,33*1,25)*4)*20   zděné sloupy nad podezdívkou</t>
  </si>
  <si>
    <t>(0,33*0,55)*6   čela podezdívky</t>
  </si>
  <si>
    <t>(0,33*1,885)*4   čela sloupů</t>
  </si>
  <si>
    <t>Pro hydrofobizaci minerálních stavebních materiálů, na fasády, betonové konstrukce, minerální omítky</t>
  </si>
  <si>
    <t>Položka obsahuje nanesení nátěru v jedné vrstvě.</t>
  </si>
  <si>
    <t>(0,33*1,73)*2   nové zdivo</t>
  </si>
  <si>
    <t>(0,33*1,2)*6   nové zdivo</t>
  </si>
  <si>
    <t>(0,33*0,55)*8   nové zdivo</t>
  </si>
  <si>
    <t>Bude uprřesněno dle technologie a dodavatele</t>
  </si>
  <si>
    <t>Sanace jemnozrnou omítkou</t>
  </si>
  <si>
    <t>hmota silikonová, bude upřesněno dle technologie sanace</t>
  </si>
  <si>
    <t>10,72</t>
  </si>
  <si>
    <t>(3*0,5)*2   základ, pod nahrazení části zdiva dle PD</t>
  </si>
  <si>
    <t>0,4*0,8   základy nové</t>
  </si>
  <si>
    <t>0,4*1,7   základy nové</t>
  </si>
  <si>
    <t>1,5   základy nové</t>
  </si>
  <si>
    <t>;ztratné 10%; 0,15</t>
  </si>
  <si>
    <t>0,01</t>
  </si>
  <si>
    <t>1400   cca současný starý stav</t>
  </si>
  <si>
    <t>Není účtovaná likvidace železného odpadu.</t>
  </si>
  <si>
    <t>(1*1,7)*2</t>
  </si>
  <si>
    <t>(1,7*1,7)*2</t>
  </si>
  <si>
    <t>29*0,4   předpoklad, mimo výroby prvků stavby</t>
  </si>
  <si>
    <t>1600</t>
  </si>
  <si>
    <t>((2,5+2,5+1,2+1,2+1,2+1,2)*0,000888)*38   rámy tří polová výplň</t>
  </si>
  <si>
    <t>((1,7+1,7+1,2+1,2+1,2)*0,000888)*4   rámay dvou polová výplň</t>
  </si>
  <si>
    <t>((1+1+1,2+1,2)*0,000888)*4   rámy jedno polová výplň</t>
  </si>
  <si>
    <t>;ztratné 5%; 0,0185</t>
  </si>
  <si>
    <t>0,006</t>
  </si>
  <si>
    <t>(0,2*0,2*0,024)*27   200x200x3mm x 27 kusů</t>
  </si>
  <si>
    <t>(0,1*0,1*0,024)*27   vršek sloupku 27 kusů</t>
  </si>
  <si>
    <t>(0,14*0,14*0,024)*2   vršek sloupku 2 kusy</t>
  </si>
  <si>
    <t>(0,2*0,16*0,024)*4   uložení zámku kliky</t>
  </si>
  <si>
    <t>;ztratné 5%; 0,002</t>
  </si>
  <si>
    <t>((1,7+1,7+1,7+1,7)*2)*0,00541   brána rám vyrobit dle PD</t>
  </si>
  <si>
    <t>;ztratné 10%; 0,007</t>
  </si>
  <si>
    <t>(1,7*2)*0,00365   brána příčle</t>
  </si>
  <si>
    <t>((1+1+1+1,66+1,66)*2)*0,00365   branky</t>
  </si>
  <si>
    <t>;ztratné 10%; 0,006</t>
  </si>
  <si>
    <t>((2,5+2,5+1,2+1,2+1,2)*0,0008)*8   jakl 14x14 mm rámy kolem překližky</t>
  </si>
  <si>
    <t>;ztratné 5%; 0,003</t>
  </si>
  <si>
    <t>(2,5*1,2)*38   rámy tří polová výplň</t>
  </si>
  <si>
    <t>(1,7*1,2)*4   rámay dvou polová výplň</t>
  </si>
  <si>
    <t>(1*1,2)*4   rámy jedno polová výplň</t>
  </si>
  <si>
    <t>;ztratné 5%; 6,348</t>
  </si>
  <si>
    <t>((1*0,5)*2)*0,00785   branky</t>
  </si>
  <si>
    <t>((1,7*0,5)*2)*0,00785   brána</t>
  </si>
  <si>
    <t>(0,3*0,3*0,08)*2</t>
  </si>
  <si>
    <t>;ztratné 5%; 0,0005</t>
  </si>
  <si>
    <t>4*27   sloupky 27 kusů</t>
  </si>
  <si>
    <t>4*2   sloupy 2 kusy</t>
  </si>
  <si>
    <t>15   trny do základu po vybouraném zdivu</t>
  </si>
  <si>
    <t>0,25*8</t>
  </si>
  <si>
    <t>(0,2*15)*0,00189   trny do základu</t>
  </si>
  <si>
    <t>1,1*27   sloupky plot 27 kusů</t>
  </si>
  <si>
    <t>1bm 4,22 kg</t>
  </si>
  <si>
    <t>;ztratné 5%; 1,485</t>
  </si>
  <si>
    <t>1,1*27   sloupky plot do základů 2 kusy</t>
  </si>
  <si>
    <t>1,1</t>
  </si>
  <si>
    <t>(2,4*1,2)*8</t>
  </si>
  <si>
    <t>;ztratné 10%; 2,304</t>
  </si>
  <si>
    <t>3,57</t>
  </si>
  <si>
    <t>27*1,2   slopupky</t>
  </si>
  <si>
    <t>2*1,2   sloupky</t>
  </si>
  <si>
    <t>1+1+1+2   branky</t>
  </si>
  <si>
    <t>133,31   pletivo</t>
  </si>
  <si>
    <t>4,65+3+3   bet. dlažba kolem</t>
  </si>
  <si>
    <t>6,3+5+3,6+5+5,7+13,6   zatravnovací dlaž. kolem</t>
  </si>
  <si>
    <t>0,45+0,545   úsek 1</t>
  </si>
  <si>
    <t>0,515+0,545+0,635   úsek 2</t>
  </si>
  <si>
    <t>1   dle projektu</t>
  </si>
  <si>
    <t>9,4</t>
  </si>
  <si>
    <t>2,7</t>
  </si>
  <si>
    <t>(2,145*0,34*0,555)*2</t>
  </si>
  <si>
    <t>(2,145*0,34*0,15)*2</t>
  </si>
  <si>
    <t>1   světlík a jeho demontáž</t>
  </si>
  <si>
    <t>2,9</t>
  </si>
  <si>
    <t>1,5</t>
  </si>
  <si>
    <t>4,4*8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</si>
</sst>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1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right" vertical="center"/>
      <protection/>
    </xf>
    <xf numFmtId="4" fontId="9" fillId="0" borderId="26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right" vertical="center"/>
      <protection/>
    </xf>
    <xf numFmtId="4" fontId="12" fillId="0" borderId="16" xfId="0" applyNumberFormat="1" applyFont="1" applyFill="1" applyBorder="1" applyAlignment="1" applyProtection="1">
      <alignment horizontal="right" vertical="center"/>
      <protection/>
    </xf>
    <xf numFmtId="49" fontId="11" fillId="36" borderId="39" xfId="0" applyNumberFormat="1" applyFont="1" applyFill="1" applyBorder="1" applyAlignment="1" applyProtection="1">
      <alignment horizontal="left" vertical="center"/>
      <protection/>
    </xf>
    <xf numFmtId="49" fontId="15" fillId="36" borderId="39" xfId="0" applyNumberFormat="1" applyFont="1" applyFill="1" applyBorder="1" applyAlignment="1" applyProtection="1">
      <alignment horizontal="left" vertical="center"/>
      <protection/>
    </xf>
    <xf numFmtId="4" fontId="15" fillId="36" borderId="40" xfId="0" applyNumberFormat="1" applyFont="1" applyFill="1" applyBorder="1" applyAlignment="1" applyProtection="1">
      <alignment horizontal="right" vertical="center"/>
      <protection/>
    </xf>
    <xf numFmtId="4" fontId="15" fillId="36" borderId="41" xfId="0" applyNumberFormat="1" applyFont="1" applyFill="1" applyBorder="1" applyAlignment="1" applyProtection="1">
      <alignment horizontal="right" vertical="center"/>
      <protection/>
    </xf>
    <xf numFmtId="4" fontId="15" fillId="36" borderId="39" xfId="0" applyNumberFormat="1" applyFont="1" applyFill="1" applyBorder="1" applyAlignment="1" applyProtection="1">
      <alignment horizontal="right" vertical="center"/>
      <protection/>
    </xf>
    <xf numFmtId="49" fontId="11" fillId="36" borderId="42" xfId="0" applyNumberFormat="1" applyFont="1" applyFill="1" applyBorder="1" applyAlignment="1" applyProtection="1">
      <alignment horizontal="left" vertical="center"/>
      <protection/>
    </xf>
    <xf numFmtId="49" fontId="15" fillId="36" borderId="42" xfId="0" applyNumberFormat="1" applyFont="1" applyFill="1" applyBorder="1" applyAlignment="1" applyProtection="1">
      <alignment horizontal="left" vertical="center"/>
      <protection/>
    </xf>
    <xf numFmtId="49" fontId="12" fillId="37" borderId="39" xfId="0" applyNumberFormat="1" applyFont="1" applyFill="1" applyBorder="1" applyAlignment="1" applyProtection="1">
      <alignment horizontal="left" vertical="center"/>
      <protection/>
    </xf>
    <xf numFmtId="4" fontId="12" fillId="37" borderId="40" xfId="0" applyNumberFormat="1" applyFont="1" applyFill="1" applyBorder="1" applyAlignment="1" applyProtection="1">
      <alignment horizontal="right" vertical="center"/>
      <protection/>
    </xf>
    <xf numFmtId="4" fontId="12" fillId="37" borderId="41" xfId="0" applyNumberFormat="1" applyFont="1" applyFill="1" applyBorder="1" applyAlignment="1" applyProtection="1">
      <alignment horizontal="right" vertical="center"/>
      <protection/>
    </xf>
    <xf numFmtId="4" fontId="12" fillId="37" borderId="39" xfId="0" applyNumberFormat="1" applyFont="1" applyFill="1" applyBorder="1" applyAlignment="1" applyProtection="1">
      <alignment horizontal="right" vertical="center"/>
      <protection/>
    </xf>
    <xf numFmtId="4" fontId="15" fillId="36" borderId="42" xfId="0" applyNumberFormat="1" applyFont="1" applyFill="1" applyBorder="1" applyAlignment="1" applyProtection="1">
      <alignment horizontal="righ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4" fontId="12" fillId="37" borderId="42" xfId="0" applyNumberFormat="1" applyFont="1" applyFill="1" applyBorder="1" applyAlignment="1" applyProtection="1">
      <alignment horizontal="right" vertical="center"/>
      <protection/>
    </xf>
    <xf numFmtId="49" fontId="13" fillId="37" borderId="39" xfId="0" applyNumberFormat="1" applyFont="1" applyFill="1" applyBorder="1" applyAlignment="1" applyProtection="1">
      <alignment horizontal="left" vertical="center"/>
      <protection/>
    </xf>
    <xf numFmtId="4" fontId="13" fillId="37" borderId="40" xfId="0" applyNumberFormat="1" applyFont="1" applyFill="1" applyBorder="1" applyAlignment="1" applyProtection="1">
      <alignment horizontal="right" vertical="center"/>
      <protection/>
    </xf>
    <xf numFmtId="4" fontId="13" fillId="37" borderId="41" xfId="0" applyNumberFormat="1" applyFont="1" applyFill="1" applyBorder="1" applyAlignment="1" applyProtection="1">
      <alignment horizontal="right" vertical="center"/>
      <protection/>
    </xf>
    <xf numFmtId="4" fontId="13" fillId="37" borderId="39" xfId="0" applyNumberFormat="1" applyFont="1" applyFill="1" applyBorder="1" applyAlignment="1" applyProtection="1">
      <alignment horizontal="right" vertical="center"/>
      <protection/>
    </xf>
    <xf numFmtId="49" fontId="13" fillId="37" borderId="42" xfId="0" applyNumberFormat="1" applyFont="1" applyFill="1" applyBorder="1" applyAlignment="1" applyProtection="1">
      <alignment horizontal="left" vertical="center"/>
      <protection/>
    </xf>
    <xf numFmtId="4" fontId="13" fillId="37" borderId="4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3" borderId="48" xfId="0" applyNumberFormat="1" applyFont="1" applyFill="1" applyBorder="1" applyAlignment="1" applyProtection="1">
      <alignment horizontal="left" vertical="center"/>
      <protection/>
    </xf>
    <xf numFmtId="0" fontId="4" fillId="33" borderId="49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5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2" fillId="37" borderId="4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37" borderId="41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5" fillId="36" borderId="40" xfId="0" applyNumberFormat="1" applyFont="1" applyFill="1" applyBorder="1" applyAlignment="1" applyProtection="1">
      <alignment horizontal="left" vertical="center"/>
      <protection/>
    </xf>
    <xf numFmtId="0" fontId="15" fillId="35" borderId="42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13" fillId="37" borderId="40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13" fillId="37" borderId="41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49" fontId="15" fillId="36" borderId="41" xfId="0" applyNumberFormat="1" applyFont="1" applyFill="1" applyBorder="1" applyAlignment="1" applyProtection="1">
      <alignment horizontal="left" vertical="center"/>
      <protection/>
    </xf>
    <xf numFmtId="0" fontId="15" fillId="35" borderId="39" xfId="0" applyNumberFormat="1" applyFont="1" applyFill="1" applyBorder="1" applyAlignment="1" applyProtection="1">
      <alignment horizontal="left" vertical="center"/>
      <protection/>
    </xf>
    <xf numFmtId="49" fontId="9" fillId="0" borderId="59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62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92"/>
      <c r="B1" s="1"/>
      <c r="C1" s="123" t="s">
        <v>22</v>
      </c>
      <c r="D1" s="124"/>
      <c r="E1" s="124"/>
      <c r="F1" s="124"/>
      <c r="G1" s="124"/>
      <c r="H1" s="124"/>
      <c r="I1" s="124"/>
    </row>
    <row r="2" spans="1:10" ht="12.75">
      <c r="A2" s="125" t="s">
        <v>0</v>
      </c>
      <c r="B2" s="126"/>
      <c r="C2" s="127" t="str">
        <f>'Stavební rozpočet'!C2</f>
        <v>Oprava oplocení MŠ Gorkého, Krnov</v>
      </c>
      <c r="D2" s="128"/>
      <c r="E2" s="130" t="s">
        <v>31</v>
      </c>
      <c r="F2" s="130" t="str">
        <f>'Stavební rozpočet'!I2</f>
        <v>Město Krnov</v>
      </c>
      <c r="G2" s="126"/>
      <c r="H2" s="130" t="s">
        <v>49</v>
      </c>
      <c r="I2" s="131" t="s">
        <v>53</v>
      </c>
      <c r="J2" s="15"/>
    </row>
    <row r="3" spans="1:10" ht="12.75">
      <c r="A3" s="120"/>
      <c r="B3" s="97"/>
      <c r="C3" s="129"/>
      <c r="D3" s="129"/>
      <c r="E3" s="97"/>
      <c r="F3" s="97"/>
      <c r="G3" s="97"/>
      <c r="H3" s="97"/>
      <c r="I3" s="122"/>
      <c r="J3" s="15"/>
    </row>
    <row r="4" spans="1:10" ht="12.75">
      <c r="A4" s="114" t="s">
        <v>1</v>
      </c>
      <c r="B4" s="97"/>
      <c r="C4" s="96" t="str">
        <f>'Stavební rozpočet'!C4</f>
        <v>Rekonstrukce s opravou</v>
      </c>
      <c r="D4" s="97"/>
      <c r="E4" s="96" t="s">
        <v>32</v>
      </c>
      <c r="F4" s="96" t="str">
        <f>'Stavební rozpočet'!I4</f>
        <v>Ing. Karel Oubělický – OK Project</v>
      </c>
      <c r="G4" s="97"/>
      <c r="H4" s="96" t="s">
        <v>49</v>
      </c>
      <c r="I4" s="121"/>
      <c r="J4" s="15"/>
    </row>
    <row r="5" spans="1:10" ht="12.75">
      <c r="A5" s="120"/>
      <c r="B5" s="97"/>
      <c r="C5" s="97"/>
      <c r="D5" s="97"/>
      <c r="E5" s="97"/>
      <c r="F5" s="97"/>
      <c r="G5" s="97"/>
      <c r="H5" s="97"/>
      <c r="I5" s="122"/>
      <c r="J5" s="15"/>
    </row>
    <row r="6" spans="1:10" ht="12.75">
      <c r="A6" s="114" t="s">
        <v>2</v>
      </c>
      <c r="B6" s="97"/>
      <c r="C6" s="96" t="str">
        <f>'Stavební rozpočet'!C6</f>
        <v>Krnov</v>
      </c>
      <c r="D6" s="97"/>
      <c r="E6" s="96" t="s">
        <v>33</v>
      </c>
      <c r="F6" s="96">
        <f>'Stavební rozpočet'!I6</f>
        <v>0</v>
      </c>
      <c r="G6" s="97"/>
      <c r="H6" s="96" t="s">
        <v>49</v>
      </c>
      <c r="I6" s="121"/>
      <c r="J6" s="15"/>
    </row>
    <row r="7" spans="1:10" ht="12.75">
      <c r="A7" s="120"/>
      <c r="B7" s="97"/>
      <c r="C7" s="97"/>
      <c r="D7" s="97"/>
      <c r="E7" s="97"/>
      <c r="F7" s="97"/>
      <c r="G7" s="97"/>
      <c r="H7" s="97"/>
      <c r="I7" s="122"/>
      <c r="J7" s="15"/>
    </row>
    <row r="8" spans="1:10" ht="12.75">
      <c r="A8" s="114" t="s">
        <v>3</v>
      </c>
      <c r="B8" s="97"/>
      <c r="C8" s="96" t="str">
        <f>'Stavební rozpočet'!F4</f>
        <v> </v>
      </c>
      <c r="D8" s="97"/>
      <c r="E8" s="96" t="s">
        <v>34</v>
      </c>
      <c r="F8" s="96" t="str">
        <f>'Stavební rozpočet'!F6</f>
        <v> </v>
      </c>
      <c r="G8" s="97"/>
      <c r="H8" s="117" t="s">
        <v>50</v>
      </c>
      <c r="I8" s="121" t="s">
        <v>54</v>
      </c>
      <c r="J8" s="15"/>
    </row>
    <row r="9" spans="1:10" ht="12.75">
      <c r="A9" s="120"/>
      <c r="B9" s="97"/>
      <c r="C9" s="97"/>
      <c r="D9" s="97"/>
      <c r="E9" s="97"/>
      <c r="F9" s="97"/>
      <c r="G9" s="97"/>
      <c r="H9" s="97"/>
      <c r="I9" s="122"/>
      <c r="J9" s="15"/>
    </row>
    <row r="10" spans="1:10" ht="12.75">
      <c r="A10" s="114" t="s">
        <v>4</v>
      </c>
      <c r="B10" s="97"/>
      <c r="C10" s="96">
        <f>'Stavební rozpočet'!C8</f>
        <v>815221</v>
      </c>
      <c r="D10" s="97"/>
      <c r="E10" s="96" t="s">
        <v>35</v>
      </c>
      <c r="F10" s="96" t="str">
        <f>'Stavební rozpočet'!I8</f>
        <v>Boris Mičánek</v>
      </c>
      <c r="G10" s="97"/>
      <c r="H10" s="117" t="s">
        <v>51</v>
      </c>
      <c r="I10" s="118" t="str">
        <f>'Stavební rozpočet'!F8</f>
        <v>28.04.2020</v>
      </c>
      <c r="J10" s="15"/>
    </row>
    <row r="11" spans="1:10" ht="12.75">
      <c r="A11" s="115"/>
      <c r="B11" s="116"/>
      <c r="C11" s="116"/>
      <c r="D11" s="116"/>
      <c r="E11" s="116"/>
      <c r="F11" s="116"/>
      <c r="G11" s="116"/>
      <c r="H11" s="116"/>
      <c r="I11" s="119"/>
      <c r="J11" s="15"/>
    </row>
    <row r="12" spans="1:9" ht="23.25" customHeight="1">
      <c r="A12" s="110" t="s">
        <v>5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2" t="s">
        <v>6</v>
      </c>
      <c r="B13" s="112" t="s">
        <v>19</v>
      </c>
      <c r="C13" s="113"/>
      <c r="D13" s="2" t="s">
        <v>23</v>
      </c>
      <c r="E13" s="112" t="s">
        <v>36</v>
      </c>
      <c r="F13" s="113"/>
      <c r="G13" s="2" t="s">
        <v>37</v>
      </c>
      <c r="H13" s="112" t="s">
        <v>52</v>
      </c>
      <c r="I13" s="113"/>
      <c r="J13" s="15"/>
    </row>
    <row r="14" spans="1:10" ht="15" customHeight="1">
      <c r="A14" s="3" t="s">
        <v>7</v>
      </c>
      <c r="B14" s="8" t="s">
        <v>20</v>
      </c>
      <c r="C14" s="11">
        <f>SUM('Stavební rozpočet'!AB12:AB133)</f>
        <v>0</v>
      </c>
      <c r="D14" s="108" t="s">
        <v>24</v>
      </c>
      <c r="E14" s="109"/>
      <c r="F14" s="11">
        <f>VORN!I15</f>
        <v>0</v>
      </c>
      <c r="G14" s="108" t="s">
        <v>38</v>
      </c>
      <c r="H14" s="109"/>
      <c r="I14" s="11">
        <f>VORN!I21</f>
        <v>0</v>
      </c>
      <c r="J14" s="15"/>
    </row>
    <row r="15" spans="1:10" ht="15" customHeight="1">
      <c r="A15" s="4"/>
      <c r="B15" s="8" t="s">
        <v>21</v>
      </c>
      <c r="C15" s="11">
        <f>SUM('Stavební rozpočet'!AC12:AC133)</f>
        <v>0</v>
      </c>
      <c r="D15" s="108" t="s">
        <v>25</v>
      </c>
      <c r="E15" s="109"/>
      <c r="F15" s="11">
        <f>VORN!I16</f>
        <v>0</v>
      </c>
      <c r="G15" s="108" t="s">
        <v>39</v>
      </c>
      <c r="H15" s="109"/>
      <c r="I15" s="11">
        <f>VORN!I22</f>
        <v>0</v>
      </c>
      <c r="J15" s="15"/>
    </row>
    <row r="16" spans="1:10" ht="15" customHeight="1">
      <c r="A16" s="3" t="s">
        <v>8</v>
      </c>
      <c r="B16" s="8" t="s">
        <v>20</v>
      </c>
      <c r="C16" s="11">
        <f>SUM('Stavební rozpočet'!AD12:AD133)</f>
        <v>0</v>
      </c>
      <c r="D16" s="108" t="s">
        <v>26</v>
      </c>
      <c r="E16" s="109"/>
      <c r="F16" s="11">
        <f>VORN!I17</f>
        <v>0</v>
      </c>
      <c r="G16" s="108" t="s">
        <v>40</v>
      </c>
      <c r="H16" s="109"/>
      <c r="I16" s="11">
        <f>VORN!I23</f>
        <v>0</v>
      </c>
      <c r="J16" s="15"/>
    </row>
    <row r="17" spans="1:10" ht="15" customHeight="1">
      <c r="A17" s="4"/>
      <c r="B17" s="8" t="s">
        <v>21</v>
      </c>
      <c r="C17" s="11">
        <f>SUM('Stavební rozpočet'!AE12:AE133)</f>
        <v>0</v>
      </c>
      <c r="D17" s="108"/>
      <c r="E17" s="109"/>
      <c r="F17" s="12"/>
      <c r="G17" s="108" t="s">
        <v>41</v>
      </c>
      <c r="H17" s="109"/>
      <c r="I17" s="11">
        <f>VORN!I24</f>
        <v>0</v>
      </c>
      <c r="J17" s="15"/>
    </row>
    <row r="18" spans="1:10" ht="15" customHeight="1">
      <c r="A18" s="3" t="s">
        <v>9</v>
      </c>
      <c r="B18" s="8" t="s">
        <v>20</v>
      </c>
      <c r="C18" s="11">
        <f>SUM('Stavební rozpočet'!AF12:AF133)</f>
        <v>0</v>
      </c>
      <c r="D18" s="108"/>
      <c r="E18" s="109"/>
      <c r="F18" s="12"/>
      <c r="G18" s="108" t="s">
        <v>42</v>
      </c>
      <c r="H18" s="109"/>
      <c r="I18" s="11">
        <f>VORN!I25</f>
        <v>0</v>
      </c>
      <c r="J18" s="15"/>
    </row>
    <row r="19" spans="1:10" ht="15" customHeight="1">
      <c r="A19" s="4"/>
      <c r="B19" s="8" t="s">
        <v>21</v>
      </c>
      <c r="C19" s="11">
        <f>SUM('Stavební rozpočet'!AG12:AG133)</f>
        <v>0</v>
      </c>
      <c r="D19" s="108"/>
      <c r="E19" s="109"/>
      <c r="F19" s="12"/>
      <c r="G19" s="108" t="s">
        <v>43</v>
      </c>
      <c r="H19" s="109"/>
      <c r="I19" s="11">
        <f>VORN!I26</f>
        <v>0</v>
      </c>
      <c r="J19" s="15"/>
    </row>
    <row r="20" spans="1:10" ht="15" customHeight="1">
      <c r="A20" s="104" t="s">
        <v>10</v>
      </c>
      <c r="B20" s="105"/>
      <c r="C20" s="11">
        <f>SUM('Stavební rozpočet'!AH12:AH133)</f>
        <v>0</v>
      </c>
      <c r="D20" s="108"/>
      <c r="E20" s="109"/>
      <c r="F20" s="12"/>
      <c r="G20" s="108"/>
      <c r="H20" s="109"/>
      <c r="I20" s="12"/>
      <c r="J20" s="15"/>
    </row>
    <row r="21" spans="1:10" ht="15" customHeight="1">
      <c r="A21" s="104" t="s">
        <v>11</v>
      </c>
      <c r="B21" s="105"/>
      <c r="C21" s="11">
        <f>SUM('Stavební rozpočet'!Z12:Z133)</f>
        <v>0</v>
      </c>
      <c r="D21" s="108"/>
      <c r="E21" s="109"/>
      <c r="F21" s="12"/>
      <c r="G21" s="108"/>
      <c r="H21" s="109"/>
      <c r="I21" s="12"/>
      <c r="J21" s="15"/>
    </row>
    <row r="22" spans="1:10" ht="16.5" customHeight="1">
      <c r="A22" s="104" t="s">
        <v>12</v>
      </c>
      <c r="B22" s="105"/>
      <c r="C22" s="11">
        <f>SUM(C14:C21)</f>
        <v>0</v>
      </c>
      <c r="D22" s="104" t="s">
        <v>27</v>
      </c>
      <c r="E22" s="105"/>
      <c r="F22" s="11">
        <f>SUM(F14:F21)</f>
        <v>0</v>
      </c>
      <c r="G22" s="104" t="s">
        <v>44</v>
      </c>
      <c r="H22" s="105"/>
      <c r="I22" s="11">
        <f>SUM(I14:I21)</f>
        <v>0</v>
      </c>
      <c r="J22" s="15"/>
    </row>
    <row r="23" spans="1:10" ht="15" customHeight="1">
      <c r="A23" s="5"/>
      <c r="B23" s="5"/>
      <c r="C23" s="5"/>
      <c r="D23" s="5"/>
      <c r="E23" s="5"/>
      <c r="F23" s="13"/>
      <c r="G23" s="104" t="s">
        <v>45</v>
      </c>
      <c r="H23" s="105"/>
      <c r="I23" s="11">
        <f>vorn_sum</f>
        <v>0</v>
      </c>
      <c r="J23" s="15"/>
    </row>
    <row r="24" spans="1:9" ht="12.75">
      <c r="A24" s="1"/>
      <c r="B24" s="1"/>
      <c r="C24" s="1"/>
      <c r="G24" s="5"/>
      <c r="H24" s="5"/>
      <c r="I24" s="5"/>
    </row>
    <row r="25" spans="1:9" ht="15" customHeight="1">
      <c r="A25" s="106" t="s">
        <v>13</v>
      </c>
      <c r="B25" s="107"/>
      <c r="C25" s="17">
        <f>SUM('Stavební rozpočet'!AJ12:AJ133)</f>
        <v>0</v>
      </c>
      <c r="D25" s="10"/>
      <c r="E25" s="1"/>
      <c r="F25" s="1"/>
      <c r="G25" s="1"/>
      <c r="H25" s="1"/>
      <c r="I25" s="1"/>
    </row>
    <row r="26" spans="1:10" ht="15" customHeight="1">
      <c r="A26" s="106" t="s">
        <v>14</v>
      </c>
      <c r="B26" s="107"/>
      <c r="C26" s="17">
        <f>SUM('Stavební rozpočet'!AK12:AK133)</f>
        <v>0</v>
      </c>
      <c r="D26" s="106" t="s">
        <v>28</v>
      </c>
      <c r="E26" s="107"/>
      <c r="F26" s="17">
        <f>ROUND(C26*(15/100),2)</f>
        <v>0</v>
      </c>
      <c r="G26" s="106" t="s">
        <v>46</v>
      </c>
      <c r="H26" s="107"/>
      <c r="I26" s="17">
        <f>SUM(C25:C27)</f>
        <v>0</v>
      </c>
      <c r="J26" s="15"/>
    </row>
    <row r="27" spans="1:10" ht="15" customHeight="1">
      <c r="A27" s="106" t="s">
        <v>15</v>
      </c>
      <c r="B27" s="107"/>
      <c r="C27" s="17">
        <f>SUM('Stavební rozpočet'!AL12:AL133)+(F22+I22)</f>
        <v>0</v>
      </c>
      <c r="D27" s="106" t="s">
        <v>29</v>
      </c>
      <c r="E27" s="107"/>
      <c r="F27" s="17">
        <f>ROUND(C27*(21/100),2)</f>
        <v>0</v>
      </c>
      <c r="G27" s="106" t="s">
        <v>47</v>
      </c>
      <c r="H27" s="107"/>
      <c r="I27" s="17">
        <f>SUM(F26:F27)+I26</f>
        <v>0</v>
      </c>
      <c r="J27" s="15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25" customHeight="1">
      <c r="A29" s="101" t="s">
        <v>16</v>
      </c>
      <c r="B29" s="102"/>
      <c r="C29" s="103"/>
      <c r="D29" s="101" t="s">
        <v>30</v>
      </c>
      <c r="E29" s="102"/>
      <c r="F29" s="103"/>
      <c r="G29" s="101" t="s">
        <v>48</v>
      </c>
      <c r="H29" s="102"/>
      <c r="I29" s="103"/>
      <c r="J29" s="16"/>
    </row>
    <row r="30" spans="1:10" ht="14.25" customHeight="1">
      <c r="A30" s="98"/>
      <c r="B30" s="99"/>
      <c r="C30" s="100"/>
      <c r="D30" s="98"/>
      <c r="E30" s="99"/>
      <c r="F30" s="100"/>
      <c r="G30" s="98"/>
      <c r="H30" s="99"/>
      <c r="I30" s="100"/>
      <c r="J30" s="16"/>
    </row>
    <row r="31" spans="1:10" ht="14.25" customHeight="1">
      <c r="A31" s="98"/>
      <c r="B31" s="99"/>
      <c r="C31" s="100"/>
      <c r="D31" s="98"/>
      <c r="E31" s="99"/>
      <c r="F31" s="100"/>
      <c r="G31" s="98"/>
      <c r="H31" s="99"/>
      <c r="I31" s="100"/>
      <c r="J31" s="16"/>
    </row>
    <row r="32" spans="1:10" ht="14.25" customHeight="1">
      <c r="A32" s="98"/>
      <c r="B32" s="99"/>
      <c r="C32" s="100"/>
      <c r="D32" s="98"/>
      <c r="E32" s="99"/>
      <c r="F32" s="100"/>
      <c r="G32" s="98"/>
      <c r="H32" s="99"/>
      <c r="I32" s="100"/>
      <c r="J32" s="16"/>
    </row>
    <row r="33" spans="1:10" ht="14.25" customHeight="1">
      <c r="A33" s="93" t="s">
        <v>17</v>
      </c>
      <c r="B33" s="94"/>
      <c r="C33" s="95"/>
      <c r="D33" s="93" t="s">
        <v>17</v>
      </c>
      <c r="E33" s="94"/>
      <c r="F33" s="95"/>
      <c r="G33" s="93" t="s">
        <v>17</v>
      </c>
      <c r="H33" s="94"/>
      <c r="I33" s="95"/>
      <c r="J33" s="16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96"/>
      <c r="B35" s="97"/>
      <c r="C35" s="97"/>
      <c r="D35" s="97"/>
      <c r="E35" s="97"/>
      <c r="F35" s="97"/>
      <c r="G35" s="97"/>
      <c r="H35" s="97"/>
      <c r="I35" s="97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7:B27"/>
    <mergeCell ref="D27:E27"/>
    <mergeCell ref="G27:H27"/>
    <mergeCell ref="A29:C29"/>
    <mergeCell ref="D29:F29"/>
    <mergeCell ref="G29:I29"/>
    <mergeCell ref="A30:C30"/>
    <mergeCell ref="D30:F30"/>
    <mergeCell ref="G30:I30"/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</mergeCells>
  <printOptions horizontalCentered="1"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6" sqref="F6:G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92"/>
      <c r="B1" s="1"/>
      <c r="C1" s="123" t="s">
        <v>63</v>
      </c>
      <c r="D1" s="124"/>
      <c r="E1" s="124"/>
      <c r="F1" s="124"/>
      <c r="G1" s="124"/>
      <c r="H1" s="124"/>
      <c r="I1" s="124"/>
    </row>
    <row r="2" spans="1:10" ht="12.75">
      <c r="A2" s="125" t="s">
        <v>0</v>
      </c>
      <c r="B2" s="126"/>
      <c r="C2" s="127" t="str">
        <f>'Stavební rozpočet'!C2</f>
        <v>Oprava oplocení MŠ Gorkého, Krnov</v>
      </c>
      <c r="D2" s="128"/>
      <c r="E2" s="130" t="s">
        <v>31</v>
      </c>
      <c r="F2" s="130" t="str">
        <f>'Stavební rozpočet'!I2</f>
        <v>Město Krnov</v>
      </c>
      <c r="G2" s="126"/>
      <c r="H2" s="130" t="s">
        <v>49</v>
      </c>
      <c r="I2" s="131" t="s">
        <v>53</v>
      </c>
      <c r="J2" s="15"/>
    </row>
    <row r="3" spans="1:10" ht="12.75">
      <c r="A3" s="120"/>
      <c r="B3" s="97"/>
      <c r="C3" s="129"/>
      <c r="D3" s="129"/>
      <c r="E3" s="97"/>
      <c r="F3" s="97"/>
      <c r="G3" s="97"/>
      <c r="H3" s="97"/>
      <c r="I3" s="122"/>
      <c r="J3" s="15"/>
    </row>
    <row r="4" spans="1:10" ht="12.75">
      <c r="A4" s="114" t="s">
        <v>1</v>
      </c>
      <c r="B4" s="97"/>
      <c r="C4" s="96" t="str">
        <f>'Stavební rozpočet'!C4</f>
        <v>Rekonstrukce s opravou</v>
      </c>
      <c r="D4" s="97"/>
      <c r="E4" s="96" t="s">
        <v>32</v>
      </c>
      <c r="F4" s="96" t="str">
        <f>'Stavební rozpočet'!I4</f>
        <v>Ing. Karel Oubělický – OK Project</v>
      </c>
      <c r="G4" s="97"/>
      <c r="H4" s="96" t="s">
        <v>49</v>
      </c>
      <c r="I4" s="121"/>
      <c r="J4" s="15"/>
    </row>
    <row r="5" spans="1:10" ht="12.75">
      <c r="A5" s="120"/>
      <c r="B5" s="97"/>
      <c r="C5" s="97"/>
      <c r="D5" s="97"/>
      <c r="E5" s="97"/>
      <c r="F5" s="97"/>
      <c r="G5" s="97"/>
      <c r="H5" s="97"/>
      <c r="I5" s="122"/>
      <c r="J5" s="15"/>
    </row>
    <row r="6" spans="1:10" ht="12.75">
      <c r="A6" s="114" t="s">
        <v>2</v>
      </c>
      <c r="B6" s="97"/>
      <c r="C6" s="96" t="str">
        <f>'Stavební rozpočet'!C6</f>
        <v>Krnov</v>
      </c>
      <c r="D6" s="97"/>
      <c r="E6" s="96" t="s">
        <v>33</v>
      </c>
      <c r="F6" s="96"/>
      <c r="G6" s="97"/>
      <c r="H6" s="96" t="s">
        <v>49</v>
      </c>
      <c r="I6" s="121"/>
      <c r="J6" s="15"/>
    </row>
    <row r="7" spans="1:10" ht="12.75">
      <c r="A7" s="120"/>
      <c r="B7" s="97"/>
      <c r="C7" s="97"/>
      <c r="D7" s="97"/>
      <c r="E7" s="97"/>
      <c r="F7" s="97"/>
      <c r="G7" s="97"/>
      <c r="H7" s="97"/>
      <c r="I7" s="122"/>
      <c r="J7" s="15"/>
    </row>
    <row r="8" spans="1:10" ht="12.75">
      <c r="A8" s="114" t="s">
        <v>3</v>
      </c>
      <c r="B8" s="97"/>
      <c r="C8" s="96" t="str">
        <f>'Stavební rozpočet'!F4</f>
        <v> </v>
      </c>
      <c r="D8" s="97"/>
      <c r="E8" s="96" t="s">
        <v>34</v>
      </c>
      <c r="F8" s="96" t="str">
        <f>'Stavební rozpočet'!F6</f>
        <v> </v>
      </c>
      <c r="G8" s="97"/>
      <c r="H8" s="117" t="s">
        <v>50</v>
      </c>
      <c r="I8" s="121" t="s">
        <v>54</v>
      </c>
      <c r="J8" s="15"/>
    </row>
    <row r="9" spans="1:10" ht="12.75">
      <c r="A9" s="120"/>
      <c r="B9" s="97"/>
      <c r="C9" s="97"/>
      <c r="D9" s="97"/>
      <c r="E9" s="97"/>
      <c r="F9" s="97"/>
      <c r="G9" s="97"/>
      <c r="H9" s="97"/>
      <c r="I9" s="122"/>
      <c r="J9" s="15"/>
    </row>
    <row r="10" spans="1:10" ht="12.75">
      <c r="A10" s="114" t="s">
        <v>4</v>
      </c>
      <c r="B10" s="97"/>
      <c r="C10" s="96">
        <f>'Stavební rozpočet'!C8</f>
        <v>815221</v>
      </c>
      <c r="D10" s="97"/>
      <c r="E10" s="96" t="s">
        <v>35</v>
      </c>
      <c r="F10" s="96" t="str">
        <f>'Stavební rozpočet'!I8</f>
        <v>Boris Mičánek</v>
      </c>
      <c r="G10" s="97"/>
      <c r="H10" s="117" t="s">
        <v>51</v>
      </c>
      <c r="I10" s="118" t="str">
        <f>'Stavební rozpočet'!F8</f>
        <v>28.04.2020</v>
      </c>
      <c r="J10" s="15"/>
    </row>
    <row r="11" spans="1:10" ht="12.75">
      <c r="A11" s="115"/>
      <c r="B11" s="116"/>
      <c r="C11" s="116"/>
      <c r="D11" s="116"/>
      <c r="E11" s="116"/>
      <c r="F11" s="116"/>
      <c r="G11" s="116"/>
      <c r="H11" s="116"/>
      <c r="I11" s="119"/>
      <c r="J11" s="1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44" t="s">
        <v>55</v>
      </c>
      <c r="B13" s="145"/>
      <c r="C13" s="145"/>
      <c r="D13" s="145"/>
      <c r="E13" s="145"/>
      <c r="F13" s="19"/>
      <c r="G13" s="19"/>
      <c r="H13" s="19"/>
      <c r="I13" s="19"/>
    </row>
    <row r="14" spans="1:10" ht="12.75">
      <c r="A14" s="146" t="s">
        <v>56</v>
      </c>
      <c r="B14" s="147"/>
      <c r="C14" s="147"/>
      <c r="D14" s="147"/>
      <c r="E14" s="148"/>
      <c r="F14" s="20" t="s">
        <v>64</v>
      </c>
      <c r="G14" s="20" t="s">
        <v>65</v>
      </c>
      <c r="H14" s="20" t="s">
        <v>66</v>
      </c>
      <c r="I14" s="20" t="s">
        <v>64</v>
      </c>
      <c r="J14" s="16"/>
    </row>
    <row r="15" spans="1:10" ht="12.75">
      <c r="A15" s="149" t="s">
        <v>24</v>
      </c>
      <c r="B15" s="150"/>
      <c r="C15" s="150"/>
      <c r="D15" s="150"/>
      <c r="E15" s="151"/>
      <c r="F15" s="21">
        <v>0</v>
      </c>
      <c r="G15" s="24"/>
      <c r="H15" s="24"/>
      <c r="I15" s="21">
        <f>F15</f>
        <v>0</v>
      </c>
      <c r="J15" s="15"/>
    </row>
    <row r="16" spans="1:10" ht="12.75">
      <c r="A16" s="149" t="s">
        <v>25</v>
      </c>
      <c r="B16" s="150"/>
      <c r="C16" s="150"/>
      <c r="D16" s="150"/>
      <c r="E16" s="151"/>
      <c r="F16" s="21">
        <v>0</v>
      </c>
      <c r="G16" s="24"/>
      <c r="H16" s="24"/>
      <c r="I16" s="21">
        <f>F16</f>
        <v>0</v>
      </c>
      <c r="J16" s="15"/>
    </row>
    <row r="17" spans="1:10" ht="12.75">
      <c r="A17" s="132" t="s">
        <v>26</v>
      </c>
      <c r="B17" s="133"/>
      <c r="C17" s="133"/>
      <c r="D17" s="133"/>
      <c r="E17" s="134"/>
      <c r="F17" s="22">
        <v>0</v>
      </c>
      <c r="G17" s="25"/>
      <c r="H17" s="25"/>
      <c r="I17" s="22">
        <f>F17</f>
        <v>0</v>
      </c>
      <c r="J17" s="15"/>
    </row>
    <row r="18" spans="1:10" ht="12.75">
      <c r="A18" s="135" t="s">
        <v>57</v>
      </c>
      <c r="B18" s="136"/>
      <c r="C18" s="136"/>
      <c r="D18" s="136"/>
      <c r="E18" s="137"/>
      <c r="F18" s="23"/>
      <c r="G18" s="26"/>
      <c r="H18" s="26"/>
      <c r="I18" s="27">
        <f>SUM(I15:I17)</f>
        <v>0</v>
      </c>
      <c r="J18" s="16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10" ht="12.75">
      <c r="A20" s="146" t="s">
        <v>52</v>
      </c>
      <c r="B20" s="147"/>
      <c r="C20" s="147"/>
      <c r="D20" s="147"/>
      <c r="E20" s="148"/>
      <c r="F20" s="20" t="s">
        <v>64</v>
      </c>
      <c r="G20" s="20" t="s">
        <v>65</v>
      </c>
      <c r="H20" s="20" t="s">
        <v>66</v>
      </c>
      <c r="I20" s="20" t="s">
        <v>64</v>
      </c>
      <c r="J20" s="16"/>
    </row>
    <row r="21" spans="1:10" ht="12.75">
      <c r="A21" s="149" t="s">
        <v>38</v>
      </c>
      <c r="B21" s="150"/>
      <c r="C21" s="150"/>
      <c r="D21" s="150"/>
      <c r="E21" s="151"/>
      <c r="F21" s="24"/>
      <c r="G21" s="21">
        <v>0</v>
      </c>
      <c r="H21" s="21">
        <f>'Krycí list rozpočtu'!C22</f>
        <v>0</v>
      </c>
      <c r="I21" s="21">
        <f>(G21/100)*H21</f>
        <v>0</v>
      </c>
      <c r="J21" s="15"/>
    </row>
    <row r="22" spans="1:10" ht="12.75">
      <c r="A22" s="149" t="s">
        <v>39</v>
      </c>
      <c r="B22" s="150"/>
      <c r="C22" s="150"/>
      <c r="D22" s="150"/>
      <c r="E22" s="151"/>
      <c r="F22" s="21">
        <v>0</v>
      </c>
      <c r="G22" s="24"/>
      <c r="H22" s="24"/>
      <c r="I22" s="21">
        <f>F22</f>
        <v>0</v>
      </c>
      <c r="J22" s="15"/>
    </row>
    <row r="23" spans="1:10" ht="12.75">
      <c r="A23" s="149" t="s">
        <v>40</v>
      </c>
      <c r="B23" s="150"/>
      <c r="C23" s="150"/>
      <c r="D23" s="150"/>
      <c r="E23" s="151"/>
      <c r="F23" s="21">
        <v>0</v>
      </c>
      <c r="G23" s="24"/>
      <c r="H23" s="24"/>
      <c r="I23" s="21">
        <f>F23</f>
        <v>0</v>
      </c>
      <c r="J23" s="15"/>
    </row>
    <row r="24" spans="1:10" ht="12.75">
      <c r="A24" s="149" t="s">
        <v>41</v>
      </c>
      <c r="B24" s="150"/>
      <c r="C24" s="150"/>
      <c r="D24" s="150"/>
      <c r="E24" s="151"/>
      <c r="F24" s="21">
        <v>0</v>
      </c>
      <c r="G24" s="24"/>
      <c r="H24" s="24"/>
      <c r="I24" s="21">
        <f>F24</f>
        <v>0</v>
      </c>
      <c r="J24" s="15"/>
    </row>
    <row r="25" spans="1:10" ht="12.75">
      <c r="A25" s="149" t="s">
        <v>42</v>
      </c>
      <c r="B25" s="150"/>
      <c r="C25" s="150"/>
      <c r="D25" s="150"/>
      <c r="E25" s="151"/>
      <c r="F25" s="21">
        <v>0</v>
      </c>
      <c r="G25" s="24"/>
      <c r="H25" s="24"/>
      <c r="I25" s="21">
        <f>F25</f>
        <v>0</v>
      </c>
      <c r="J25" s="15"/>
    </row>
    <row r="26" spans="1:10" ht="12.75">
      <c r="A26" s="132" t="s">
        <v>43</v>
      </c>
      <c r="B26" s="133"/>
      <c r="C26" s="133"/>
      <c r="D26" s="133"/>
      <c r="E26" s="134"/>
      <c r="F26" s="22">
        <v>0</v>
      </c>
      <c r="G26" s="25"/>
      <c r="H26" s="25"/>
      <c r="I26" s="22">
        <f>F26</f>
        <v>0</v>
      </c>
      <c r="J26" s="15"/>
    </row>
    <row r="27" spans="1:10" ht="12.75">
      <c r="A27" s="135" t="s">
        <v>58</v>
      </c>
      <c r="B27" s="136"/>
      <c r="C27" s="136"/>
      <c r="D27" s="136"/>
      <c r="E27" s="137"/>
      <c r="F27" s="23"/>
      <c r="G27" s="26"/>
      <c r="H27" s="26"/>
      <c r="I27" s="27">
        <f>SUM(I21:I26)</f>
        <v>0</v>
      </c>
      <c r="J27" s="16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10" ht="15" customHeight="1">
      <c r="A29" s="138" t="s">
        <v>59</v>
      </c>
      <c r="B29" s="139"/>
      <c r="C29" s="139"/>
      <c r="D29" s="139"/>
      <c r="E29" s="140"/>
      <c r="F29" s="141">
        <f>I18+I27</f>
        <v>0</v>
      </c>
      <c r="G29" s="142"/>
      <c r="H29" s="142"/>
      <c r="I29" s="143"/>
      <c r="J29" s="16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44" t="s">
        <v>60</v>
      </c>
      <c r="B33" s="145"/>
      <c r="C33" s="145"/>
      <c r="D33" s="145"/>
      <c r="E33" s="145"/>
      <c r="F33" s="19"/>
      <c r="G33" s="19"/>
      <c r="H33" s="19"/>
      <c r="I33" s="19"/>
    </row>
    <row r="34" spans="1:10" ht="12.75">
      <c r="A34" s="146" t="s">
        <v>61</v>
      </c>
      <c r="B34" s="147"/>
      <c r="C34" s="147"/>
      <c r="D34" s="147"/>
      <c r="E34" s="148"/>
      <c r="F34" s="20" t="s">
        <v>64</v>
      </c>
      <c r="G34" s="20" t="s">
        <v>65</v>
      </c>
      <c r="H34" s="20" t="s">
        <v>66</v>
      </c>
      <c r="I34" s="20" t="s">
        <v>64</v>
      </c>
      <c r="J34" s="16"/>
    </row>
    <row r="35" spans="1:10" ht="12.75">
      <c r="A35" s="132"/>
      <c r="B35" s="133"/>
      <c r="C35" s="133"/>
      <c r="D35" s="133"/>
      <c r="E35" s="134"/>
      <c r="F35" s="22">
        <v>0</v>
      </c>
      <c r="G35" s="25"/>
      <c r="H35" s="25"/>
      <c r="I35" s="22">
        <f>F35</f>
        <v>0</v>
      </c>
      <c r="J35" s="15"/>
    </row>
    <row r="36" spans="1:10" ht="12.75">
      <c r="A36" s="135" t="s">
        <v>62</v>
      </c>
      <c r="B36" s="136"/>
      <c r="C36" s="136"/>
      <c r="D36" s="136"/>
      <c r="E36" s="137"/>
      <c r="F36" s="23"/>
      <c r="G36" s="26"/>
      <c r="H36" s="26"/>
      <c r="I36" s="27">
        <f>SUM(I35:I35)</f>
        <v>0</v>
      </c>
      <c r="J36" s="16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6" width="12.140625" style="0" hidden="1" customWidth="1"/>
  </cols>
  <sheetData>
    <row r="1" spans="1:12" ht="72.75" customHeight="1">
      <c r="A1" s="167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ht="12.75">
      <c r="A2" s="125" t="s">
        <v>0</v>
      </c>
      <c r="B2" s="126"/>
      <c r="C2" s="126"/>
      <c r="D2" s="127" t="str">
        <f>'Stavební rozpočet'!C2</f>
        <v>Oprava oplocení MŠ Gorkého, Krnov</v>
      </c>
      <c r="E2" s="130" t="s">
        <v>73</v>
      </c>
      <c r="F2" s="126"/>
      <c r="G2" s="130" t="str">
        <f>'Stavební rozpočet'!F2</f>
        <v> </v>
      </c>
      <c r="H2" s="126"/>
      <c r="I2" s="130" t="s">
        <v>31</v>
      </c>
      <c r="J2" s="130" t="str">
        <f>'Stavební rozpočet'!I2</f>
        <v>Město Krnov</v>
      </c>
      <c r="K2" s="126"/>
      <c r="L2" s="168"/>
      <c r="M2" s="15"/>
    </row>
    <row r="3" spans="1:13" ht="12.75">
      <c r="A3" s="120"/>
      <c r="B3" s="97"/>
      <c r="C3" s="97"/>
      <c r="D3" s="129"/>
      <c r="E3" s="97"/>
      <c r="F3" s="97"/>
      <c r="G3" s="97"/>
      <c r="H3" s="97"/>
      <c r="I3" s="97"/>
      <c r="J3" s="97"/>
      <c r="K3" s="97"/>
      <c r="L3" s="122"/>
      <c r="M3" s="15"/>
    </row>
    <row r="4" spans="1:13" ht="12.75">
      <c r="A4" s="114" t="s">
        <v>1</v>
      </c>
      <c r="B4" s="97"/>
      <c r="C4" s="97"/>
      <c r="D4" s="96" t="str">
        <f>'Stavební rozpočet'!C4</f>
        <v>Rekonstrukce s opravou</v>
      </c>
      <c r="E4" s="96" t="s">
        <v>3</v>
      </c>
      <c r="F4" s="97"/>
      <c r="G4" s="96" t="str">
        <f>'Stavební rozpočet'!F4</f>
        <v> </v>
      </c>
      <c r="H4" s="97"/>
      <c r="I4" s="96" t="s">
        <v>32</v>
      </c>
      <c r="J4" s="96" t="str">
        <f>'Stavební rozpočet'!I4</f>
        <v>Ing. Karel Oubělický – OK Project</v>
      </c>
      <c r="K4" s="97"/>
      <c r="L4" s="122"/>
      <c r="M4" s="15"/>
    </row>
    <row r="5" spans="1:13" ht="12.75">
      <c r="A5" s="120"/>
      <c r="B5" s="97"/>
      <c r="C5" s="97"/>
      <c r="D5" s="97"/>
      <c r="E5" s="97"/>
      <c r="F5" s="97"/>
      <c r="G5" s="97"/>
      <c r="H5" s="97"/>
      <c r="I5" s="97"/>
      <c r="J5" s="97"/>
      <c r="K5" s="97"/>
      <c r="L5" s="122"/>
      <c r="M5" s="15"/>
    </row>
    <row r="6" spans="1:13" ht="12.75">
      <c r="A6" s="114" t="s">
        <v>2</v>
      </c>
      <c r="B6" s="97"/>
      <c r="C6" s="97"/>
      <c r="D6" s="96" t="str">
        <f>'Stavební rozpočet'!C6</f>
        <v>Krnov</v>
      </c>
      <c r="E6" s="96" t="s">
        <v>34</v>
      </c>
      <c r="F6" s="97"/>
      <c r="G6" s="96" t="str">
        <f>'Stavební rozpočet'!F6</f>
        <v> </v>
      </c>
      <c r="H6" s="97"/>
      <c r="I6" s="96" t="s">
        <v>33</v>
      </c>
      <c r="J6" s="96"/>
      <c r="K6" s="97"/>
      <c r="L6" s="122"/>
      <c r="M6" s="15"/>
    </row>
    <row r="7" spans="1:13" ht="12.75">
      <c r="A7" s="120"/>
      <c r="B7" s="97"/>
      <c r="C7" s="97"/>
      <c r="D7" s="97"/>
      <c r="E7" s="97"/>
      <c r="F7" s="97"/>
      <c r="G7" s="97"/>
      <c r="H7" s="97"/>
      <c r="I7" s="97"/>
      <c r="J7" s="97"/>
      <c r="K7" s="97"/>
      <c r="L7" s="122"/>
      <c r="M7" s="15"/>
    </row>
    <row r="8" spans="1:13" ht="12.75">
      <c r="A8" s="114" t="s">
        <v>4</v>
      </c>
      <c r="B8" s="97"/>
      <c r="C8" s="97"/>
      <c r="D8" s="96">
        <f>'Stavební rozpočet'!C8</f>
        <v>815221</v>
      </c>
      <c r="E8" s="96" t="s">
        <v>74</v>
      </c>
      <c r="F8" s="97"/>
      <c r="G8" s="96" t="str">
        <f>'Stavební rozpočet'!F8</f>
        <v>28.04.2020</v>
      </c>
      <c r="H8" s="97"/>
      <c r="I8" s="96" t="s">
        <v>35</v>
      </c>
      <c r="J8" s="96" t="str">
        <f>'Stavební rozpočet'!I8</f>
        <v>Boris Mičánek</v>
      </c>
      <c r="K8" s="97"/>
      <c r="L8" s="122"/>
      <c r="M8" s="15"/>
    </row>
    <row r="9" spans="1:13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15"/>
    </row>
    <row r="10" spans="1:13" ht="12.75">
      <c r="A10" s="28" t="s">
        <v>68</v>
      </c>
      <c r="B10" s="152" t="s">
        <v>68</v>
      </c>
      <c r="C10" s="153"/>
      <c r="D10" s="153"/>
      <c r="E10" s="153"/>
      <c r="F10" s="153"/>
      <c r="G10" s="153"/>
      <c r="H10" s="154"/>
      <c r="I10" s="155" t="s">
        <v>75</v>
      </c>
      <c r="J10" s="156"/>
      <c r="K10" s="157"/>
      <c r="L10" s="34" t="s">
        <v>79</v>
      </c>
      <c r="M10" s="16"/>
    </row>
    <row r="11" spans="1:13" ht="12.75">
      <c r="A11" s="29" t="s">
        <v>69</v>
      </c>
      <c r="B11" s="158" t="s">
        <v>71</v>
      </c>
      <c r="C11" s="159"/>
      <c r="D11" s="159"/>
      <c r="E11" s="159"/>
      <c r="F11" s="159"/>
      <c r="G11" s="159"/>
      <c r="H11" s="160"/>
      <c r="I11" s="32" t="s">
        <v>76</v>
      </c>
      <c r="J11" s="33" t="s">
        <v>21</v>
      </c>
      <c r="K11" s="33" t="s">
        <v>78</v>
      </c>
      <c r="L11" s="35" t="s">
        <v>78</v>
      </c>
      <c r="M11" s="16"/>
    </row>
    <row r="12" spans="1:16" ht="12.75">
      <c r="A12" s="30" t="s">
        <v>70</v>
      </c>
      <c r="B12" s="161" t="s">
        <v>72</v>
      </c>
      <c r="C12" s="162"/>
      <c r="D12" s="162"/>
      <c r="E12" s="162"/>
      <c r="F12" s="162"/>
      <c r="G12" s="162"/>
      <c r="H12" s="162"/>
      <c r="I12" s="37">
        <f>'Stavební rozpočet'!I12</f>
        <v>0</v>
      </c>
      <c r="J12" s="37">
        <f>'Stavební rozpočet'!J12</f>
        <v>0</v>
      </c>
      <c r="K12" s="37">
        <f>'Stavební rozpočet'!K12</f>
        <v>0</v>
      </c>
      <c r="L12" s="37">
        <f>'Stavební rozpočet'!L12</f>
        <v>415450.98</v>
      </c>
      <c r="M12" s="36" t="s">
        <v>80</v>
      </c>
      <c r="N12" s="36">
        <f>IF(M12="F",0,K12)</f>
        <v>0</v>
      </c>
      <c r="O12" s="14" t="s">
        <v>70</v>
      </c>
      <c r="P12" s="36">
        <f>IF(M12="T",0,K12)</f>
        <v>0</v>
      </c>
    </row>
    <row r="13" spans="1:12" ht="12.75">
      <c r="A13" s="5"/>
      <c r="B13" s="5"/>
      <c r="C13" s="5"/>
      <c r="D13" s="5"/>
      <c r="E13" s="5"/>
      <c r="F13" s="5"/>
      <c r="G13" s="5"/>
      <c r="H13" s="5"/>
      <c r="I13" s="163" t="s">
        <v>77</v>
      </c>
      <c r="J13" s="128"/>
      <c r="K13" s="38">
        <f>SUM(P12:P12)</f>
        <v>0</v>
      </c>
      <c r="L13" s="5"/>
    </row>
    <row r="14" ht="11.25" customHeight="1">
      <c r="A14" s="31" t="s">
        <v>18</v>
      </c>
    </row>
    <row r="15" spans="1:11" ht="12.7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</row>
  </sheetData>
  <sheetProtection/>
  <mergeCells count="31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B10:H10"/>
    <mergeCell ref="I10:K10"/>
    <mergeCell ref="B11:H11"/>
    <mergeCell ref="B12:H12"/>
    <mergeCell ref="I13:J13"/>
    <mergeCell ref="A15:K1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6" width="12.140625" style="0" hidden="1" customWidth="1"/>
  </cols>
  <sheetData>
    <row r="1" spans="1:12" ht="72.75" customHeight="1">
      <c r="A1" s="167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ht="12.75">
      <c r="A2" s="125" t="s">
        <v>0</v>
      </c>
      <c r="B2" s="126"/>
      <c r="C2" s="126"/>
      <c r="D2" s="127" t="str">
        <f>'Stavební rozpočet'!C2</f>
        <v>Oprava oplocení MŠ Gorkého, Krnov</v>
      </c>
      <c r="E2" s="130" t="s">
        <v>73</v>
      </c>
      <c r="F2" s="126"/>
      <c r="G2" s="130" t="str">
        <f>'Stavební rozpočet'!F2</f>
        <v> </v>
      </c>
      <c r="H2" s="126"/>
      <c r="I2" s="130" t="s">
        <v>31</v>
      </c>
      <c r="J2" s="130" t="str">
        <f>'Stavební rozpočet'!I2</f>
        <v>Město Krnov</v>
      </c>
      <c r="K2" s="126"/>
      <c r="L2" s="168"/>
      <c r="M2" s="15"/>
    </row>
    <row r="3" spans="1:13" ht="12.75">
      <c r="A3" s="120"/>
      <c r="B3" s="97"/>
      <c r="C3" s="97"/>
      <c r="D3" s="129"/>
      <c r="E3" s="97"/>
      <c r="F3" s="97"/>
      <c r="G3" s="97"/>
      <c r="H3" s="97"/>
      <c r="I3" s="97"/>
      <c r="J3" s="97"/>
      <c r="K3" s="97"/>
      <c r="L3" s="122"/>
      <c r="M3" s="15"/>
    </row>
    <row r="4" spans="1:13" ht="12.75">
      <c r="A4" s="114" t="s">
        <v>1</v>
      </c>
      <c r="B4" s="97"/>
      <c r="C4" s="97"/>
      <c r="D4" s="96" t="str">
        <f>'Stavební rozpočet'!C4</f>
        <v>Rekonstrukce s opravou</v>
      </c>
      <c r="E4" s="96" t="s">
        <v>3</v>
      </c>
      <c r="F4" s="97"/>
      <c r="G4" s="96" t="str">
        <f>'Stavební rozpočet'!F4</f>
        <v> </v>
      </c>
      <c r="H4" s="97"/>
      <c r="I4" s="96" t="s">
        <v>32</v>
      </c>
      <c r="J4" s="96" t="str">
        <f>'Stavební rozpočet'!I4</f>
        <v>Ing. Karel Oubělický – OK Project</v>
      </c>
      <c r="K4" s="97"/>
      <c r="L4" s="122"/>
      <c r="M4" s="15"/>
    </row>
    <row r="5" spans="1:13" ht="12.75">
      <c r="A5" s="120"/>
      <c r="B5" s="97"/>
      <c r="C5" s="97"/>
      <c r="D5" s="97"/>
      <c r="E5" s="97"/>
      <c r="F5" s="97"/>
      <c r="G5" s="97"/>
      <c r="H5" s="97"/>
      <c r="I5" s="97"/>
      <c r="J5" s="97"/>
      <c r="K5" s="97"/>
      <c r="L5" s="122"/>
      <c r="M5" s="15"/>
    </row>
    <row r="6" spans="1:13" ht="12.75">
      <c r="A6" s="114" t="s">
        <v>2</v>
      </c>
      <c r="B6" s="97"/>
      <c r="C6" s="97"/>
      <c r="D6" s="96" t="str">
        <f>'Stavební rozpočet'!C6</f>
        <v>Krnov</v>
      </c>
      <c r="E6" s="96" t="s">
        <v>34</v>
      </c>
      <c r="F6" s="97"/>
      <c r="G6" s="96" t="str">
        <f>'Stavební rozpočet'!F6</f>
        <v> </v>
      </c>
      <c r="H6" s="97"/>
      <c r="I6" s="96" t="s">
        <v>33</v>
      </c>
      <c r="J6" s="96"/>
      <c r="K6" s="97"/>
      <c r="L6" s="122"/>
      <c r="M6" s="15"/>
    </row>
    <row r="7" spans="1:13" ht="12.75">
      <c r="A7" s="120"/>
      <c r="B7" s="97"/>
      <c r="C7" s="97"/>
      <c r="D7" s="97"/>
      <c r="E7" s="97"/>
      <c r="F7" s="97"/>
      <c r="G7" s="97"/>
      <c r="H7" s="97"/>
      <c r="I7" s="97"/>
      <c r="J7" s="97"/>
      <c r="K7" s="97"/>
      <c r="L7" s="122"/>
      <c r="M7" s="15"/>
    </row>
    <row r="8" spans="1:13" ht="12.75">
      <c r="A8" s="114" t="s">
        <v>4</v>
      </c>
      <c r="B8" s="97"/>
      <c r="C8" s="97"/>
      <c r="D8" s="96">
        <f>'Stavební rozpočet'!C8</f>
        <v>815221</v>
      </c>
      <c r="E8" s="96" t="s">
        <v>74</v>
      </c>
      <c r="F8" s="97"/>
      <c r="G8" s="96" t="str">
        <f>'Stavební rozpočet'!F8</f>
        <v>28.04.2020</v>
      </c>
      <c r="H8" s="97"/>
      <c r="I8" s="96" t="s">
        <v>35</v>
      </c>
      <c r="J8" s="96" t="str">
        <f>'Stavební rozpočet'!I8</f>
        <v>Boris Mičánek</v>
      </c>
      <c r="K8" s="97"/>
      <c r="L8" s="122"/>
      <c r="M8" s="15"/>
    </row>
    <row r="9" spans="1:13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15"/>
    </row>
    <row r="10" spans="1:13" ht="12.75">
      <c r="A10" s="28" t="s">
        <v>68</v>
      </c>
      <c r="B10" s="28" t="s">
        <v>68</v>
      </c>
      <c r="C10" s="152" t="s">
        <v>68</v>
      </c>
      <c r="D10" s="153"/>
      <c r="E10" s="153"/>
      <c r="F10" s="153"/>
      <c r="G10" s="153"/>
      <c r="H10" s="154"/>
      <c r="I10" s="155" t="s">
        <v>75</v>
      </c>
      <c r="J10" s="156"/>
      <c r="K10" s="157"/>
      <c r="L10" s="34" t="s">
        <v>79</v>
      </c>
      <c r="M10" s="16"/>
    </row>
    <row r="11" spans="1:13" ht="12.75">
      <c r="A11" s="29" t="s">
        <v>69</v>
      </c>
      <c r="B11" s="29" t="s">
        <v>82</v>
      </c>
      <c r="C11" s="158" t="s">
        <v>71</v>
      </c>
      <c r="D11" s="159"/>
      <c r="E11" s="159"/>
      <c r="F11" s="159"/>
      <c r="G11" s="159"/>
      <c r="H11" s="160"/>
      <c r="I11" s="32" t="s">
        <v>76</v>
      </c>
      <c r="J11" s="33" t="s">
        <v>21</v>
      </c>
      <c r="K11" s="33" t="s">
        <v>78</v>
      </c>
      <c r="L11" s="35" t="s">
        <v>78</v>
      </c>
      <c r="M11" s="16"/>
    </row>
    <row r="12" spans="1:16" ht="12.75">
      <c r="A12" s="39" t="s">
        <v>70</v>
      </c>
      <c r="B12" s="39"/>
      <c r="C12" s="170" t="s">
        <v>72</v>
      </c>
      <c r="D12" s="153"/>
      <c r="E12" s="153"/>
      <c r="F12" s="153"/>
      <c r="G12" s="153"/>
      <c r="H12" s="153"/>
      <c r="I12" s="41">
        <f>'Stavební rozpočet'!I12</f>
        <v>0</v>
      </c>
      <c r="J12" s="41">
        <f>'Stavební rozpočet'!J12</f>
        <v>0</v>
      </c>
      <c r="K12" s="41">
        <f>'Stavební rozpočet'!K12</f>
        <v>0</v>
      </c>
      <c r="L12" s="41">
        <f>'Stavební rozpočet'!L12</f>
        <v>415450.98</v>
      </c>
      <c r="M12" s="36" t="s">
        <v>80</v>
      </c>
      <c r="N12" s="36">
        <f aca="true" t="shared" si="0" ref="N12:N21">IF(M12="F",0,K12)</f>
        <v>0</v>
      </c>
      <c r="O12" s="14" t="s">
        <v>70</v>
      </c>
      <c r="P12" s="36">
        <f aca="true" t="shared" si="1" ref="P12:P21">IF(M12="T",0,K12)</f>
        <v>0</v>
      </c>
    </row>
    <row r="13" spans="1:16" ht="12.75">
      <c r="A13" s="14" t="s">
        <v>70</v>
      </c>
      <c r="B13" s="14" t="s">
        <v>83</v>
      </c>
      <c r="C13" s="117" t="s">
        <v>92</v>
      </c>
      <c r="D13" s="97"/>
      <c r="E13" s="97"/>
      <c r="F13" s="97"/>
      <c r="G13" s="97"/>
      <c r="H13" s="97"/>
      <c r="I13" s="36">
        <f>SUMIF('Stavební rozpočet'!AZ13:AZ133,"SO 01_1_",'Stavební rozpočet'!AW13:AW133)</f>
        <v>0</v>
      </c>
      <c r="J13" s="36">
        <f>SUMIF('Stavební rozpočet'!AZ13:AZ133,"SO 01_1_",'Stavební rozpočet'!AX13:AX133)</f>
        <v>0</v>
      </c>
      <c r="K13" s="36">
        <f>SUMIF('Stavební rozpočet'!AZ13:AZ133,"SO 01_1_",'Stavební rozpočet'!AV13:AV133)</f>
        <v>0</v>
      </c>
      <c r="L13" s="36">
        <f>SUMIF('Stavební rozpočet'!AZ13:AZ133,"SO 01_1_",'Stavební rozpočet'!BF13:BF133)</f>
        <v>5944.200000000001</v>
      </c>
      <c r="M13" s="36" t="s">
        <v>101</v>
      </c>
      <c r="N13" s="36">
        <f t="shared" si="0"/>
        <v>0</v>
      </c>
      <c r="O13" s="14" t="s">
        <v>70</v>
      </c>
      <c r="P13" s="36">
        <f t="shared" si="1"/>
        <v>0</v>
      </c>
    </row>
    <row r="14" spans="1:16" ht="12.75">
      <c r="A14" s="14" t="s">
        <v>70</v>
      </c>
      <c r="B14" s="14" t="s">
        <v>84</v>
      </c>
      <c r="C14" s="117" t="s">
        <v>93</v>
      </c>
      <c r="D14" s="97"/>
      <c r="E14" s="97"/>
      <c r="F14" s="97"/>
      <c r="G14" s="97"/>
      <c r="H14" s="97"/>
      <c r="I14" s="36">
        <f>SUMIF('Stavební rozpočet'!AZ13:AZ133,"SO 01_2_",'Stavební rozpočet'!AW13:AW133)</f>
        <v>0</v>
      </c>
      <c r="J14" s="36">
        <f>SUMIF('Stavební rozpočet'!AZ13:AZ133,"SO 01_2_",'Stavební rozpočet'!AX13:AX133)</f>
        <v>0</v>
      </c>
      <c r="K14" s="36">
        <f>SUMIF('Stavební rozpočet'!AZ13:AZ133,"SO 01_2_",'Stavební rozpočet'!AV13:AV133)</f>
        <v>0</v>
      </c>
      <c r="L14" s="36">
        <f>SUMIF('Stavební rozpočet'!AZ13:AZ133,"SO 01_2_",'Stavební rozpočet'!BF13:BF133)</f>
        <v>137.92000000000002</v>
      </c>
      <c r="M14" s="36" t="s">
        <v>101</v>
      </c>
      <c r="N14" s="36">
        <f t="shared" si="0"/>
        <v>0</v>
      </c>
      <c r="O14" s="14" t="s">
        <v>70</v>
      </c>
      <c r="P14" s="36">
        <f t="shared" si="1"/>
        <v>0</v>
      </c>
    </row>
    <row r="15" spans="1:16" ht="12.75">
      <c r="A15" s="14" t="s">
        <v>70</v>
      </c>
      <c r="B15" s="14" t="s">
        <v>85</v>
      </c>
      <c r="C15" s="117" t="s">
        <v>94</v>
      </c>
      <c r="D15" s="97"/>
      <c r="E15" s="97"/>
      <c r="F15" s="97"/>
      <c r="G15" s="97"/>
      <c r="H15" s="97"/>
      <c r="I15" s="36">
        <f>SUMIF('Stavební rozpočet'!AZ13:AZ133,"SO 01_3_",'Stavební rozpočet'!AW13:AW133)</f>
        <v>0</v>
      </c>
      <c r="J15" s="36">
        <f>SUMIF('Stavební rozpočet'!AZ13:AZ133,"SO 01_3_",'Stavební rozpočet'!AX13:AX133)</f>
        <v>0</v>
      </c>
      <c r="K15" s="36">
        <f>SUMIF('Stavební rozpočet'!AZ13:AZ133,"SO 01_3_",'Stavební rozpočet'!AV13:AV133)</f>
        <v>0</v>
      </c>
      <c r="L15" s="36">
        <f>SUMIF('Stavební rozpočet'!AZ13:AZ133,"SO 01_3_",'Stavební rozpočet'!BF13:BF133)</f>
        <v>5373.34</v>
      </c>
      <c r="M15" s="36" t="s">
        <v>101</v>
      </c>
      <c r="N15" s="36">
        <f t="shared" si="0"/>
        <v>0</v>
      </c>
      <c r="O15" s="14" t="s">
        <v>70</v>
      </c>
      <c r="P15" s="36">
        <f t="shared" si="1"/>
        <v>0</v>
      </c>
    </row>
    <row r="16" spans="1:16" ht="12.75">
      <c r="A16" s="14" t="s">
        <v>70</v>
      </c>
      <c r="B16" s="14" t="s">
        <v>86</v>
      </c>
      <c r="C16" s="117" t="s">
        <v>95</v>
      </c>
      <c r="D16" s="97"/>
      <c r="E16" s="97"/>
      <c r="F16" s="97"/>
      <c r="G16" s="97"/>
      <c r="H16" s="97"/>
      <c r="I16" s="36">
        <f>SUMIF('Stavební rozpočet'!AZ13:AZ133,"SO 01_5_",'Stavební rozpočet'!AW13:AW133)</f>
        <v>0</v>
      </c>
      <c r="J16" s="36">
        <f>SUMIF('Stavební rozpočet'!AZ13:AZ133,"SO 01_5_",'Stavební rozpočet'!AX13:AX133)</f>
        <v>0</v>
      </c>
      <c r="K16" s="36">
        <f>SUMIF('Stavební rozpočet'!AZ13:AZ133,"SO 01_5_",'Stavební rozpočet'!AV13:AV133)</f>
        <v>0</v>
      </c>
      <c r="L16" s="36">
        <f>SUMIF('Stavební rozpočet'!AZ13:AZ133,"SO 01_5_",'Stavební rozpočet'!BF13:BF133)</f>
        <v>8608.810000000001</v>
      </c>
      <c r="M16" s="36" t="s">
        <v>101</v>
      </c>
      <c r="N16" s="36">
        <f t="shared" si="0"/>
        <v>0</v>
      </c>
      <c r="O16" s="14" t="s">
        <v>70</v>
      </c>
      <c r="P16" s="36">
        <f t="shared" si="1"/>
        <v>0</v>
      </c>
    </row>
    <row r="17" spans="1:16" ht="12.75">
      <c r="A17" s="14" t="s">
        <v>70</v>
      </c>
      <c r="B17" s="14" t="s">
        <v>87</v>
      </c>
      <c r="C17" s="117" t="s">
        <v>96</v>
      </c>
      <c r="D17" s="97"/>
      <c r="E17" s="97"/>
      <c r="F17" s="97"/>
      <c r="G17" s="97"/>
      <c r="H17" s="97"/>
      <c r="I17" s="36">
        <f>SUMIF('Stavební rozpočet'!AZ13:AZ133,"SO 01_6_",'Stavební rozpočet'!AW13:AW133)</f>
        <v>0</v>
      </c>
      <c r="J17" s="36">
        <f>SUMIF('Stavební rozpočet'!AZ13:AZ133,"SO 01_6_",'Stavební rozpočet'!AX13:AX133)</f>
        <v>0</v>
      </c>
      <c r="K17" s="36">
        <f>SUMIF('Stavební rozpočet'!AZ13:AZ133,"SO 01_6_",'Stavební rozpočet'!AV13:AV133)</f>
        <v>0</v>
      </c>
      <c r="L17" s="36">
        <f>SUMIF('Stavební rozpočet'!AZ13:AZ133,"SO 01_6_",'Stavební rozpočet'!BF13:BF133)</f>
        <v>39811.37</v>
      </c>
      <c r="M17" s="36" t="s">
        <v>101</v>
      </c>
      <c r="N17" s="36">
        <f t="shared" si="0"/>
        <v>0</v>
      </c>
      <c r="O17" s="14" t="s">
        <v>70</v>
      </c>
      <c r="P17" s="36">
        <f t="shared" si="1"/>
        <v>0</v>
      </c>
    </row>
    <row r="18" spans="1:16" ht="12.75">
      <c r="A18" s="14" t="s">
        <v>70</v>
      </c>
      <c r="B18" s="14" t="s">
        <v>88</v>
      </c>
      <c r="C18" s="117" t="s">
        <v>97</v>
      </c>
      <c r="D18" s="97"/>
      <c r="E18" s="97"/>
      <c r="F18" s="97"/>
      <c r="G18" s="97"/>
      <c r="H18" s="97"/>
      <c r="I18" s="36">
        <f>SUMIF('Stavební rozpočet'!AZ13:AZ133,"SO 01_71_",'Stavební rozpočet'!AW13:AW133)</f>
        <v>0</v>
      </c>
      <c r="J18" s="36">
        <f>SUMIF('Stavební rozpočet'!AZ13:AZ133,"SO 01_71_",'Stavební rozpočet'!AX13:AX133)</f>
        <v>0</v>
      </c>
      <c r="K18" s="36">
        <f>SUMIF('Stavební rozpočet'!AZ13:AZ133,"SO 01_71_",'Stavební rozpočet'!AV13:AV133)</f>
        <v>0</v>
      </c>
      <c r="L18" s="36">
        <f>SUMIF('Stavební rozpočet'!AZ13:AZ133,"SO 01_71_",'Stavební rozpočet'!BF13:BF133)</f>
        <v>410.51</v>
      </c>
      <c r="M18" s="36" t="s">
        <v>101</v>
      </c>
      <c r="N18" s="36">
        <f t="shared" si="0"/>
        <v>0</v>
      </c>
      <c r="O18" s="14" t="s">
        <v>70</v>
      </c>
      <c r="P18" s="36">
        <f t="shared" si="1"/>
        <v>0</v>
      </c>
    </row>
    <row r="19" spans="1:16" ht="12.75">
      <c r="A19" s="14" t="s">
        <v>70</v>
      </c>
      <c r="B19" s="14" t="s">
        <v>89</v>
      </c>
      <c r="C19" s="117" t="s">
        <v>98</v>
      </c>
      <c r="D19" s="97"/>
      <c r="E19" s="97"/>
      <c r="F19" s="97"/>
      <c r="G19" s="97"/>
      <c r="H19" s="97"/>
      <c r="I19" s="36">
        <f>SUMIF('Stavební rozpočet'!AZ13:AZ133,"SO 01_76_",'Stavební rozpočet'!AW13:AW133)</f>
        <v>0</v>
      </c>
      <c r="J19" s="36">
        <f>SUMIF('Stavební rozpočet'!AZ13:AZ133,"SO 01_76_",'Stavební rozpočet'!AX13:AX133)</f>
        <v>0</v>
      </c>
      <c r="K19" s="36">
        <f>SUMIF('Stavební rozpočet'!AZ13:AZ133,"SO 01_76_",'Stavební rozpočet'!AV13:AV133)</f>
        <v>0</v>
      </c>
      <c r="L19" s="36">
        <f>SUMIF('Stavební rozpočet'!AZ13:AZ133,"SO 01_76_",'Stavební rozpočet'!BF13:BF133)</f>
        <v>275904.74</v>
      </c>
      <c r="M19" s="36" t="s">
        <v>101</v>
      </c>
      <c r="N19" s="36">
        <f t="shared" si="0"/>
        <v>0</v>
      </c>
      <c r="O19" s="14" t="s">
        <v>70</v>
      </c>
      <c r="P19" s="36">
        <f t="shared" si="1"/>
        <v>0</v>
      </c>
    </row>
    <row r="20" spans="1:16" ht="12.75">
      <c r="A20" s="14" t="s">
        <v>70</v>
      </c>
      <c r="B20" s="14" t="s">
        <v>90</v>
      </c>
      <c r="C20" s="117" t="s">
        <v>99</v>
      </c>
      <c r="D20" s="97"/>
      <c r="E20" s="97"/>
      <c r="F20" s="97"/>
      <c r="G20" s="97"/>
      <c r="H20" s="97"/>
      <c r="I20" s="36">
        <f>SUMIF('Stavební rozpočet'!AZ13:AZ133,"SO 01_78_",'Stavební rozpočet'!AW13:AW133)</f>
        <v>0</v>
      </c>
      <c r="J20" s="36">
        <f>SUMIF('Stavební rozpočet'!AZ13:AZ133,"SO 01_78_",'Stavební rozpočet'!AX13:AX133)</f>
        <v>0</v>
      </c>
      <c r="K20" s="36">
        <f>SUMIF('Stavební rozpočet'!AZ13:AZ133,"SO 01_78_",'Stavební rozpočet'!AV13:AV133)</f>
        <v>0</v>
      </c>
      <c r="L20" s="36">
        <f>SUMIF('Stavební rozpočet'!AZ13:AZ133,"SO 01_78_",'Stavební rozpočet'!BF13:BF133)</f>
        <v>26934.48</v>
      </c>
      <c r="M20" s="36" t="s">
        <v>101</v>
      </c>
      <c r="N20" s="36">
        <f t="shared" si="0"/>
        <v>0</v>
      </c>
      <c r="O20" s="14" t="s">
        <v>70</v>
      </c>
      <c r="P20" s="36">
        <f t="shared" si="1"/>
        <v>0</v>
      </c>
    </row>
    <row r="21" spans="1:16" ht="12.75">
      <c r="A21" s="40" t="s">
        <v>70</v>
      </c>
      <c r="B21" s="40" t="s">
        <v>91</v>
      </c>
      <c r="C21" s="169" t="s">
        <v>100</v>
      </c>
      <c r="D21" s="116"/>
      <c r="E21" s="116"/>
      <c r="F21" s="116"/>
      <c r="G21" s="116"/>
      <c r="H21" s="116"/>
      <c r="I21" s="42">
        <f>SUMIF('Stavební rozpočet'!AZ13:AZ133,"SO 01_9_",'Stavební rozpočet'!AW13:AW133)</f>
        <v>0</v>
      </c>
      <c r="J21" s="42">
        <f>SUMIF('Stavební rozpočet'!AZ13:AZ133,"SO 01_9_",'Stavební rozpočet'!AX13:AX133)</f>
        <v>0</v>
      </c>
      <c r="K21" s="42">
        <f>SUMIF('Stavební rozpočet'!AZ13:AZ133,"SO 01_9_",'Stavební rozpočet'!AV13:AV133)</f>
        <v>0</v>
      </c>
      <c r="L21" s="42">
        <f>SUMIF('Stavební rozpočet'!AZ13:AZ133,"SO 01_9_",'Stavební rozpočet'!BF13:BF133)</f>
        <v>52325.61</v>
      </c>
      <c r="M21" s="36" t="s">
        <v>101</v>
      </c>
      <c r="N21" s="36">
        <f t="shared" si="0"/>
        <v>0</v>
      </c>
      <c r="O21" s="14" t="s">
        <v>70</v>
      </c>
      <c r="P21" s="36">
        <f t="shared" si="1"/>
        <v>0</v>
      </c>
    </row>
    <row r="22" spans="1:12" ht="12.75">
      <c r="A22" s="5"/>
      <c r="B22" s="5"/>
      <c r="C22" s="5"/>
      <c r="D22" s="5"/>
      <c r="E22" s="5"/>
      <c r="F22" s="5"/>
      <c r="G22" s="5"/>
      <c r="H22" s="5"/>
      <c r="I22" s="163" t="s">
        <v>77</v>
      </c>
      <c r="J22" s="128"/>
      <c r="K22" s="38">
        <f>SUM(N12:N21)</f>
        <v>0</v>
      </c>
      <c r="L22" s="5"/>
    </row>
    <row r="23" ht="11.25" customHeight="1">
      <c r="A23" s="31" t="s">
        <v>18</v>
      </c>
    </row>
    <row r="24" spans="1:11" ht="12.7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</row>
  </sheetData>
  <sheetProtection/>
  <mergeCells count="40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C10:H10"/>
    <mergeCell ref="I10:K10"/>
    <mergeCell ref="C11:H11"/>
    <mergeCell ref="C12:H12"/>
    <mergeCell ref="C13:H13"/>
    <mergeCell ref="C14:H14"/>
    <mergeCell ref="C21:H21"/>
    <mergeCell ref="I22:J22"/>
    <mergeCell ref="A24:K24"/>
    <mergeCell ref="C15:H15"/>
    <mergeCell ref="C16:H16"/>
    <mergeCell ref="C17:H17"/>
    <mergeCell ref="C18:H18"/>
    <mergeCell ref="C19:H19"/>
    <mergeCell ref="C20:H20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I6" sqref="I6:L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9.42187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167" t="s">
        <v>102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ht="12.75">
      <c r="A2" s="125" t="s">
        <v>0</v>
      </c>
      <c r="B2" s="126"/>
      <c r="C2" s="127" t="s">
        <v>271</v>
      </c>
      <c r="D2" s="200" t="s">
        <v>73</v>
      </c>
      <c r="E2" s="126"/>
      <c r="F2" s="200" t="s">
        <v>68</v>
      </c>
      <c r="G2" s="126"/>
      <c r="H2" s="130" t="s">
        <v>31</v>
      </c>
      <c r="I2" s="130" t="s">
        <v>406</v>
      </c>
      <c r="J2" s="126"/>
      <c r="K2" s="126"/>
      <c r="L2" s="168"/>
      <c r="M2" s="15"/>
    </row>
    <row r="3" spans="1:13" ht="12.75">
      <c r="A3" s="120"/>
      <c r="B3" s="97"/>
      <c r="C3" s="129"/>
      <c r="D3" s="97"/>
      <c r="E3" s="97"/>
      <c r="F3" s="97"/>
      <c r="G3" s="97"/>
      <c r="H3" s="97"/>
      <c r="I3" s="97"/>
      <c r="J3" s="97"/>
      <c r="K3" s="97"/>
      <c r="L3" s="122"/>
      <c r="M3" s="15"/>
    </row>
    <row r="4" spans="1:13" ht="12.75">
      <c r="A4" s="114" t="s">
        <v>1</v>
      </c>
      <c r="B4" s="97"/>
      <c r="C4" s="96" t="s">
        <v>272</v>
      </c>
      <c r="D4" s="117" t="s">
        <v>3</v>
      </c>
      <c r="E4" s="97"/>
      <c r="F4" s="117" t="s">
        <v>393</v>
      </c>
      <c r="G4" s="97"/>
      <c r="H4" s="96" t="s">
        <v>32</v>
      </c>
      <c r="I4" s="96" t="s">
        <v>407</v>
      </c>
      <c r="J4" s="97"/>
      <c r="K4" s="97"/>
      <c r="L4" s="122"/>
      <c r="M4" s="15"/>
    </row>
    <row r="5" spans="1:13" ht="12.75">
      <c r="A5" s="120"/>
      <c r="B5" s="97"/>
      <c r="C5" s="97"/>
      <c r="D5" s="97"/>
      <c r="E5" s="97"/>
      <c r="F5" s="97"/>
      <c r="G5" s="97"/>
      <c r="H5" s="97"/>
      <c r="I5" s="97"/>
      <c r="J5" s="97"/>
      <c r="K5" s="97"/>
      <c r="L5" s="122"/>
      <c r="M5" s="15"/>
    </row>
    <row r="6" spans="1:13" ht="12.75">
      <c r="A6" s="114" t="s">
        <v>2</v>
      </c>
      <c r="B6" s="97"/>
      <c r="C6" s="96" t="s">
        <v>273</v>
      </c>
      <c r="D6" s="117" t="s">
        <v>34</v>
      </c>
      <c r="E6" s="97"/>
      <c r="F6" s="117" t="s">
        <v>393</v>
      </c>
      <c r="G6" s="97"/>
      <c r="H6" s="96" t="s">
        <v>33</v>
      </c>
      <c r="I6" s="199"/>
      <c r="J6" s="97"/>
      <c r="K6" s="97"/>
      <c r="L6" s="122"/>
      <c r="M6" s="15"/>
    </row>
    <row r="7" spans="1:13" ht="12.75">
      <c r="A7" s="120"/>
      <c r="B7" s="97"/>
      <c r="C7" s="97"/>
      <c r="D7" s="97"/>
      <c r="E7" s="97"/>
      <c r="F7" s="97"/>
      <c r="G7" s="97"/>
      <c r="H7" s="97"/>
      <c r="I7" s="97"/>
      <c r="J7" s="97"/>
      <c r="K7" s="97"/>
      <c r="L7" s="122"/>
      <c r="M7" s="15"/>
    </row>
    <row r="8" spans="1:13" ht="12.75">
      <c r="A8" s="114" t="s">
        <v>4</v>
      </c>
      <c r="B8" s="97"/>
      <c r="C8" s="96">
        <v>815221</v>
      </c>
      <c r="D8" s="117" t="s">
        <v>74</v>
      </c>
      <c r="E8" s="97"/>
      <c r="F8" s="117" t="s">
        <v>394</v>
      </c>
      <c r="G8" s="97"/>
      <c r="H8" s="96" t="s">
        <v>35</v>
      </c>
      <c r="I8" s="96" t="s">
        <v>408</v>
      </c>
      <c r="J8" s="97"/>
      <c r="K8" s="97"/>
      <c r="L8" s="122"/>
      <c r="M8" s="15"/>
    </row>
    <row r="9" spans="1:13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15"/>
    </row>
    <row r="10" spans="1:13" ht="12.75">
      <c r="A10" s="43" t="s">
        <v>103</v>
      </c>
      <c r="B10" s="49" t="s">
        <v>82</v>
      </c>
      <c r="C10" s="193" t="s">
        <v>274</v>
      </c>
      <c r="D10" s="194"/>
      <c r="E10" s="195"/>
      <c r="F10" s="49" t="s">
        <v>395</v>
      </c>
      <c r="G10" s="53" t="s">
        <v>403</v>
      </c>
      <c r="H10" s="56" t="s">
        <v>404</v>
      </c>
      <c r="I10" s="155" t="s">
        <v>75</v>
      </c>
      <c r="J10" s="156"/>
      <c r="K10" s="157"/>
      <c r="L10" s="58" t="s">
        <v>79</v>
      </c>
      <c r="M10" s="15"/>
    </row>
    <row r="11" spans="1:62" ht="12.75">
      <c r="A11" s="44" t="s">
        <v>68</v>
      </c>
      <c r="B11" s="50" t="s">
        <v>68</v>
      </c>
      <c r="C11" s="158" t="s">
        <v>275</v>
      </c>
      <c r="D11" s="159"/>
      <c r="E11" s="196"/>
      <c r="F11" s="50" t="s">
        <v>68</v>
      </c>
      <c r="G11" s="50" t="s">
        <v>68</v>
      </c>
      <c r="H11" s="57" t="s">
        <v>405</v>
      </c>
      <c r="I11" s="32" t="s">
        <v>76</v>
      </c>
      <c r="J11" s="33" t="s">
        <v>21</v>
      </c>
      <c r="K11" s="33" t="s">
        <v>78</v>
      </c>
      <c r="L11" s="33" t="s">
        <v>78</v>
      </c>
      <c r="M11" s="15"/>
      <c r="Z11" s="59" t="s">
        <v>409</v>
      </c>
      <c r="AA11" s="59" t="s">
        <v>410</v>
      </c>
      <c r="AB11" s="59" t="s">
        <v>411</v>
      </c>
      <c r="AC11" s="59" t="s">
        <v>412</v>
      </c>
      <c r="AD11" s="59" t="s">
        <v>413</v>
      </c>
      <c r="AE11" s="59" t="s">
        <v>414</v>
      </c>
      <c r="AF11" s="59" t="s">
        <v>415</v>
      </c>
      <c r="AG11" s="59" t="s">
        <v>416</v>
      </c>
      <c r="AH11" s="59" t="s">
        <v>417</v>
      </c>
      <c r="BH11" s="59" t="s">
        <v>448</v>
      </c>
      <c r="BI11" s="59" t="s">
        <v>449</v>
      </c>
      <c r="BJ11" s="59" t="s">
        <v>450</v>
      </c>
    </row>
    <row r="12" spans="1:12" ht="12.75">
      <c r="A12" s="45"/>
      <c r="B12" s="51"/>
      <c r="C12" s="197" t="s">
        <v>72</v>
      </c>
      <c r="D12" s="198"/>
      <c r="E12" s="198"/>
      <c r="F12" s="45" t="s">
        <v>68</v>
      </c>
      <c r="G12" s="45" t="s">
        <v>68</v>
      </c>
      <c r="H12" s="45" t="s">
        <v>68</v>
      </c>
      <c r="I12" s="63">
        <f>I13+I17+I20+I23+I29+I32+I35+I39+I44+I48+I53+I59+I70+I77+I103+I110+I117+I122+I126+I128</f>
        <v>0</v>
      </c>
      <c r="J12" s="63">
        <f>J13+J17+J20+J23+J29+J32+J35+J39+J44+J48+J53+J59+J70+J77+J103+J110+J117+J122+J126+J128</f>
        <v>0</v>
      </c>
      <c r="K12" s="63">
        <f>K13+K17+K20+K23+K29+K32+K35+K39+K44+K48+K53+K59+K70+K77+K103+K110+K117+K122+K126+K128</f>
        <v>0</v>
      </c>
      <c r="L12" s="63">
        <f>L13+L17+L20+L23+L29+L32+L35+L39+L44+L48+L53+L59+L70+L77+L103+L110+L117+L122+L126+L128</f>
        <v>415450.98</v>
      </c>
    </row>
    <row r="13" spans="1:47" ht="12.75">
      <c r="A13" s="46"/>
      <c r="B13" s="52" t="s">
        <v>108</v>
      </c>
      <c r="C13" s="179" t="s">
        <v>276</v>
      </c>
      <c r="D13" s="180"/>
      <c r="E13" s="180"/>
      <c r="F13" s="46" t="s">
        <v>68</v>
      </c>
      <c r="G13" s="46" t="s">
        <v>68</v>
      </c>
      <c r="H13" s="46" t="s">
        <v>68</v>
      </c>
      <c r="I13" s="64">
        <f>SUM(I14:I15)</f>
        <v>0</v>
      </c>
      <c r="J13" s="64">
        <f>SUM(J14:J15)</f>
        <v>0</v>
      </c>
      <c r="K13" s="64">
        <f>SUM(K14:K15)</f>
        <v>0</v>
      </c>
      <c r="L13" s="64">
        <f>SUM(L14:L15)</f>
        <v>1554.2</v>
      </c>
      <c r="AI13" s="59" t="s">
        <v>70</v>
      </c>
      <c r="AS13" s="64">
        <f>SUM(AJ14:AJ15)</f>
        <v>0</v>
      </c>
      <c r="AT13" s="64">
        <f>SUM(AK14:AK15)</f>
        <v>0</v>
      </c>
      <c r="AU13" s="64">
        <f>SUM(AL14:AL15)</f>
        <v>0</v>
      </c>
    </row>
    <row r="14" spans="1:62" ht="12.75">
      <c r="A14" s="47" t="s">
        <v>83</v>
      </c>
      <c r="B14" s="47" t="s">
        <v>180</v>
      </c>
      <c r="C14" s="176" t="s">
        <v>277</v>
      </c>
      <c r="D14" s="172"/>
      <c r="E14" s="172"/>
      <c r="F14" s="47" t="s">
        <v>396</v>
      </c>
      <c r="G14" s="54">
        <v>100.3</v>
      </c>
      <c r="H14" s="54">
        <v>0</v>
      </c>
      <c r="I14" s="54">
        <f>G14*AO14</f>
        <v>0</v>
      </c>
      <c r="J14" s="54">
        <f>G14*AP14</f>
        <v>0</v>
      </c>
      <c r="K14" s="54">
        <f>G14*H14</f>
        <v>0</v>
      </c>
      <c r="L14" s="54">
        <f>G14*14</f>
        <v>1404.2</v>
      </c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59" t="s">
        <v>70</v>
      </c>
      <c r="AJ14" s="54">
        <f>IF(AN14=0,K14,0)</f>
        <v>0</v>
      </c>
      <c r="AK14" s="54">
        <f>IF(AN14=15,K14,0)</f>
        <v>0</v>
      </c>
      <c r="AL14" s="54">
        <f>IF(AN14=21,K14,0)</f>
        <v>0</v>
      </c>
      <c r="AN14" s="36">
        <v>21</v>
      </c>
      <c r="AO14" s="36">
        <f>H14*0</f>
        <v>0</v>
      </c>
      <c r="AP14" s="36">
        <f>H14*(1-0)</f>
        <v>0</v>
      </c>
      <c r="AQ14" s="60" t="s">
        <v>83</v>
      </c>
      <c r="AV14" s="36">
        <f>AW14+AX14</f>
        <v>0</v>
      </c>
      <c r="AW14" s="36">
        <f>G14*AO14</f>
        <v>0</v>
      </c>
      <c r="AX14" s="36">
        <f>G14*AP14</f>
        <v>0</v>
      </c>
      <c r="AY14" s="62" t="s">
        <v>418</v>
      </c>
      <c r="AZ14" s="62" t="s">
        <v>438</v>
      </c>
      <c r="BA14" s="59" t="s">
        <v>447</v>
      </c>
      <c r="BC14" s="36">
        <f>AW14+AX14</f>
        <v>0</v>
      </c>
      <c r="BD14" s="36">
        <f>H14/(100-BE14)*100</f>
        <v>0</v>
      </c>
      <c r="BE14" s="36">
        <v>0</v>
      </c>
      <c r="BF14" s="36">
        <f>L14</f>
        <v>1404.2</v>
      </c>
      <c r="BH14" s="54">
        <f>G14*AO14</f>
        <v>0</v>
      </c>
      <c r="BI14" s="54">
        <f>G14*AP14</f>
        <v>0</v>
      </c>
      <c r="BJ14" s="54">
        <f>G14*H14</f>
        <v>0</v>
      </c>
    </row>
    <row r="15" spans="1:62" ht="12.75">
      <c r="A15" s="47" t="s">
        <v>84</v>
      </c>
      <c r="B15" s="47" t="s">
        <v>181</v>
      </c>
      <c r="C15" s="176" t="s">
        <v>278</v>
      </c>
      <c r="D15" s="172"/>
      <c r="E15" s="172"/>
      <c r="F15" s="47" t="s">
        <v>396</v>
      </c>
      <c r="G15" s="54">
        <v>10</v>
      </c>
      <c r="H15" s="54">
        <v>0</v>
      </c>
      <c r="I15" s="54">
        <f>G15*AO15</f>
        <v>0</v>
      </c>
      <c r="J15" s="54">
        <f>G15*AP15</f>
        <v>0</v>
      </c>
      <c r="K15" s="54">
        <f>G15*H15</f>
        <v>0</v>
      </c>
      <c r="L15" s="54">
        <f>G15*15</f>
        <v>150</v>
      </c>
      <c r="Z15" s="36">
        <f>IF(AQ15="5",BJ15,0)</f>
        <v>0</v>
      </c>
      <c r="AB15" s="36">
        <f>IF(AQ15="1",BH15,0)</f>
        <v>0</v>
      </c>
      <c r="AC15" s="36">
        <f>IF(AQ15="1",BI15,0)</f>
        <v>0</v>
      </c>
      <c r="AD15" s="36">
        <f>IF(AQ15="7",BH15,0)</f>
        <v>0</v>
      </c>
      <c r="AE15" s="36">
        <f>IF(AQ15="7",BI15,0)</f>
        <v>0</v>
      </c>
      <c r="AF15" s="36">
        <f>IF(AQ15="2",BH15,0)</f>
        <v>0</v>
      </c>
      <c r="AG15" s="36">
        <f>IF(AQ15="2",BI15,0)</f>
        <v>0</v>
      </c>
      <c r="AH15" s="36">
        <f>IF(AQ15="0",BJ15,0)</f>
        <v>0</v>
      </c>
      <c r="AI15" s="59" t="s">
        <v>70</v>
      </c>
      <c r="AJ15" s="54">
        <f>IF(AN15=0,K15,0)</f>
        <v>0</v>
      </c>
      <c r="AK15" s="54">
        <f>IF(AN15=15,K15,0)</f>
        <v>0</v>
      </c>
      <c r="AL15" s="54">
        <f>IF(AN15=21,K15,0)</f>
        <v>0</v>
      </c>
      <c r="AN15" s="36">
        <v>21</v>
      </c>
      <c r="AO15" s="36">
        <f>H15*0</f>
        <v>0</v>
      </c>
      <c r="AP15" s="36">
        <f>H15*(1-0)</f>
        <v>0</v>
      </c>
      <c r="AQ15" s="60" t="s">
        <v>83</v>
      </c>
      <c r="AV15" s="36">
        <f>AW15+AX15</f>
        <v>0</v>
      </c>
      <c r="AW15" s="36">
        <f>G15*AO15</f>
        <v>0</v>
      </c>
      <c r="AX15" s="36">
        <f>G15*AP15</f>
        <v>0</v>
      </c>
      <c r="AY15" s="62" t="s">
        <v>418</v>
      </c>
      <c r="AZ15" s="62" t="s">
        <v>438</v>
      </c>
      <c r="BA15" s="59" t="s">
        <v>447</v>
      </c>
      <c r="BC15" s="36">
        <f>AW15+AX15</f>
        <v>0</v>
      </c>
      <c r="BD15" s="36">
        <f>H15/(100-BE15)*100</f>
        <v>0</v>
      </c>
      <c r="BE15" s="36">
        <v>0</v>
      </c>
      <c r="BF15" s="36">
        <f>L15</f>
        <v>150</v>
      </c>
      <c r="BH15" s="54">
        <f>G15*AO15</f>
        <v>0</v>
      </c>
      <c r="BI15" s="54">
        <f>G15*AP15</f>
        <v>0</v>
      </c>
      <c r="BJ15" s="54">
        <f>G15*H15</f>
        <v>0</v>
      </c>
    </row>
    <row r="16" spans="3:5" ht="12.75">
      <c r="C16" s="185" t="s">
        <v>279</v>
      </c>
      <c r="D16" s="186"/>
      <c r="E16" s="186"/>
    </row>
    <row r="17" spans="1:47" ht="12.75">
      <c r="A17" s="75"/>
      <c r="B17" s="76" t="s">
        <v>109</v>
      </c>
      <c r="C17" s="181" t="s">
        <v>280</v>
      </c>
      <c r="D17" s="180"/>
      <c r="E17" s="182"/>
      <c r="F17" s="75" t="s">
        <v>68</v>
      </c>
      <c r="G17" s="75" t="s">
        <v>68</v>
      </c>
      <c r="H17" s="75" t="s">
        <v>68</v>
      </c>
      <c r="I17" s="81">
        <f>SUM(I18:I19)</f>
        <v>0</v>
      </c>
      <c r="J17" s="81">
        <f>SUM(J18:J19)</f>
        <v>0</v>
      </c>
      <c r="K17" s="81">
        <f>SUM(K18:K19)</f>
        <v>0</v>
      </c>
      <c r="L17" s="72">
        <f>SUM(L18:L19)</f>
        <v>471.40000000000003</v>
      </c>
      <c r="AI17" s="59" t="s">
        <v>70</v>
      </c>
      <c r="AS17" s="64">
        <f>SUM(AJ18:AJ19)</f>
        <v>0</v>
      </c>
      <c r="AT17" s="64">
        <f>SUM(AK18:AK19)</f>
        <v>0</v>
      </c>
      <c r="AU17" s="64">
        <f>SUM(AL18:AL19)</f>
        <v>0</v>
      </c>
    </row>
    <row r="18" spans="1:62" ht="12.75">
      <c r="A18" s="82" t="s">
        <v>85</v>
      </c>
      <c r="B18" s="82" t="s">
        <v>182</v>
      </c>
      <c r="C18" s="171" t="s">
        <v>281</v>
      </c>
      <c r="D18" s="172"/>
      <c r="E18" s="173"/>
      <c r="F18" s="82" t="s">
        <v>397</v>
      </c>
      <c r="G18" s="83">
        <v>19.37</v>
      </c>
      <c r="H18" s="83">
        <v>0</v>
      </c>
      <c r="I18" s="83">
        <f>G18*AO18</f>
        <v>0</v>
      </c>
      <c r="J18" s="83">
        <f>G18*AP18</f>
        <v>0</v>
      </c>
      <c r="K18" s="83">
        <f>G18*H18</f>
        <v>0</v>
      </c>
      <c r="L18" s="78">
        <f>G18*18</f>
        <v>348.66</v>
      </c>
      <c r="Z18" s="36">
        <f>IF(AQ18="5",BJ18,0)</f>
        <v>0</v>
      </c>
      <c r="AB18" s="36">
        <f>IF(AQ18="1",BH18,0)</f>
        <v>0</v>
      </c>
      <c r="AC18" s="36">
        <f>IF(AQ18="1",BI18,0)</f>
        <v>0</v>
      </c>
      <c r="AD18" s="36">
        <f>IF(AQ18="7",BH18,0)</f>
        <v>0</v>
      </c>
      <c r="AE18" s="36">
        <f>IF(AQ18="7",BI18,0)</f>
        <v>0</v>
      </c>
      <c r="AF18" s="36">
        <f>IF(AQ18="2",BH18,0)</f>
        <v>0</v>
      </c>
      <c r="AG18" s="36">
        <f>IF(AQ18="2",BI18,0)</f>
        <v>0</v>
      </c>
      <c r="AH18" s="36">
        <f>IF(AQ18="0",BJ18,0)</f>
        <v>0</v>
      </c>
      <c r="AI18" s="59" t="s">
        <v>70</v>
      </c>
      <c r="AJ18" s="54">
        <f>IF(AN18=0,K18,0)</f>
        <v>0</v>
      </c>
      <c r="AK18" s="54">
        <f>IF(AN18=15,K18,0)</f>
        <v>0</v>
      </c>
      <c r="AL18" s="54">
        <f>IF(AN18=21,K18,0)</f>
        <v>0</v>
      </c>
      <c r="AN18" s="36">
        <v>21</v>
      </c>
      <c r="AO18" s="36">
        <f>H18*0</f>
        <v>0</v>
      </c>
      <c r="AP18" s="36">
        <f>H18*(1-0)</f>
        <v>0</v>
      </c>
      <c r="AQ18" s="60" t="s">
        <v>83</v>
      </c>
      <c r="AV18" s="36">
        <f>AW18+AX18</f>
        <v>0</v>
      </c>
      <c r="AW18" s="36">
        <f>G18*AO18</f>
        <v>0</v>
      </c>
      <c r="AX18" s="36">
        <f>G18*AP18</f>
        <v>0</v>
      </c>
      <c r="AY18" s="62" t="s">
        <v>419</v>
      </c>
      <c r="AZ18" s="62" t="s">
        <v>438</v>
      </c>
      <c r="BA18" s="59" t="s">
        <v>447</v>
      </c>
      <c r="BC18" s="36">
        <f>AW18+AX18</f>
        <v>0</v>
      </c>
      <c r="BD18" s="36">
        <f>H18/(100-BE18)*100</f>
        <v>0</v>
      </c>
      <c r="BE18" s="36">
        <v>0</v>
      </c>
      <c r="BF18" s="36">
        <f>L18</f>
        <v>348.66</v>
      </c>
      <c r="BH18" s="54">
        <f>G18*AO18</f>
        <v>0</v>
      </c>
      <c r="BI18" s="54">
        <f>G18*AP18</f>
        <v>0</v>
      </c>
      <c r="BJ18" s="54">
        <f>G18*H18</f>
        <v>0</v>
      </c>
    </row>
    <row r="19" spans="1:62" ht="12.75">
      <c r="A19" s="77" t="s">
        <v>104</v>
      </c>
      <c r="B19" s="77" t="s">
        <v>183</v>
      </c>
      <c r="C19" s="174" t="s">
        <v>282</v>
      </c>
      <c r="D19" s="172"/>
      <c r="E19" s="175"/>
      <c r="F19" s="77" t="s">
        <v>397</v>
      </c>
      <c r="G19" s="80">
        <v>6.46</v>
      </c>
      <c r="H19" s="80">
        <v>0</v>
      </c>
      <c r="I19" s="80">
        <f>G19*AO19</f>
        <v>0</v>
      </c>
      <c r="J19" s="80">
        <f>G19*AP19</f>
        <v>0</v>
      </c>
      <c r="K19" s="80">
        <f>G19*H19</f>
        <v>0</v>
      </c>
      <c r="L19" s="79">
        <f>G19*19</f>
        <v>122.74</v>
      </c>
      <c r="Z19" s="36">
        <f>IF(AQ19="5",BJ19,0)</f>
        <v>0</v>
      </c>
      <c r="AB19" s="36">
        <f>IF(AQ19="1",BH19,0)</f>
        <v>0</v>
      </c>
      <c r="AC19" s="36">
        <f>IF(AQ19="1",BI19,0)</f>
        <v>0</v>
      </c>
      <c r="AD19" s="36">
        <f>IF(AQ19="7",BH19,0)</f>
        <v>0</v>
      </c>
      <c r="AE19" s="36">
        <f>IF(AQ19="7",BI19,0)</f>
        <v>0</v>
      </c>
      <c r="AF19" s="36">
        <f>IF(AQ19="2",BH19,0)</f>
        <v>0</v>
      </c>
      <c r="AG19" s="36">
        <f>IF(AQ19="2",BI19,0)</f>
        <v>0</v>
      </c>
      <c r="AH19" s="36">
        <f>IF(AQ19="0",BJ19,0)</f>
        <v>0</v>
      </c>
      <c r="AI19" s="59" t="s">
        <v>70</v>
      </c>
      <c r="AJ19" s="54">
        <f>IF(AN19=0,K19,0)</f>
        <v>0</v>
      </c>
      <c r="AK19" s="54">
        <f>IF(AN19=15,K19,0)</f>
        <v>0</v>
      </c>
      <c r="AL19" s="54">
        <f>IF(AN19=21,K19,0)</f>
        <v>0</v>
      </c>
      <c r="AN19" s="36">
        <v>21</v>
      </c>
      <c r="AO19" s="36">
        <f>H19*0</f>
        <v>0</v>
      </c>
      <c r="AP19" s="36">
        <f>H19*(1-0)</f>
        <v>0</v>
      </c>
      <c r="AQ19" s="60" t="s">
        <v>83</v>
      </c>
      <c r="AV19" s="36">
        <f>AW19+AX19</f>
        <v>0</v>
      </c>
      <c r="AW19" s="36">
        <f>G19*AO19</f>
        <v>0</v>
      </c>
      <c r="AX19" s="36">
        <f>G19*AP19</f>
        <v>0</v>
      </c>
      <c r="AY19" s="62" t="s">
        <v>419</v>
      </c>
      <c r="AZ19" s="62" t="s">
        <v>438</v>
      </c>
      <c r="BA19" s="59" t="s">
        <v>447</v>
      </c>
      <c r="BC19" s="36">
        <f>AW19+AX19</f>
        <v>0</v>
      </c>
      <c r="BD19" s="36">
        <f>H19/(100-BE19)*100</f>
        <v>0</v>
      </c>
      <c r="BE19" s="36">
        <v>0</v>
      </c>
      <c r="BF19" s="36">
        <f>L19</f>
        <v>122.74</v>
      </c>
      <c r="BH19" s="54">
        <f>G19*AO19</f>
        <v>0</v>
      </c>
      <c r="BI19" s="54">
        <f>G19*AP19</f>
        <v>0</v>
      </c>
      <c r="BJ19" s="54">
        <f>G19*H19</f>
        <v>0</v>
      </c>
    </row>
    <row r="20" spans="1:47" ht="12.75">
      <c r="A20" s="46"/>
      <c r="B20" s="52" t="s">
        <v>110</v>
      </c>
      <c r="C20" s="179" t="s">
        <v>283</v>
      </c>
      <c r="D20" s="180"/>
      <c r="E20" s="180"/>
      <c r="F20" s="46" t="s">
        <v>68</v>
      </c>
      <c r="G20" s="46" t="s">
        <v>68</v>
      </c>
      <c r="H20" s="46" t="s">
        <v>68</v>
      </c>
      <c r="I20" s="64">
        <f>SUM(I21:I22)</f>
        <v>0</v>
      </c>
      <c r="J20" s="64">
        <f>SUM(J21:J22)</f>
        <v>0</v>
      </c>
      <c r="K20" s="64">
        <f>SUM(K21:K22)</f>
        <v>0</v>
      </c>
      <c r="L20" s="64">
        <f>SUM(L21:L22)</f>
        <v>32.3</v>
      </c>
      <c r="AI20" s="59" t="s">
        <v>70</v>
      </c>
      <c r="AS20" s="64">
        <f>SUM(AJ21:AJ22)</f>
        <v>0</v>
      </c>
      <c r="AT20" s="64">
        <f>SUM(AK21:AK22)</f>
        <v>0</v>
      </c>
      <c r="AU20" s="64">
        <f>SUM(AL21:AL22)</f>
        <v>0</v>
      </c>
    </row>
    <row r="21" spans="1:62" ht="12.75">
      <c r="A21" s="47" t="s">
        <v>86</v>
      </c>
      <c r="B21" s="47" t="s">
        <v>184</v>
      </c>
      <c r="C21" s="176" t="s">
        <v>284</v>
      </c>
      <c r="D21" s="172"/>
      <c r="E21" s="172"/>
      <c r="F21" s="47" t="s">
        <v>397</v>
      </c>
      <c r="G21" s="54">
        <v>1.14</v>
      </c>
      <c r="H21" s="54">
        <v>0</v>
      </c>
      <c r="I21" s="54">
        <f>G21*AO21</f>
        <v>0</v>
      </c>
      <c r="J21" s="54">
        <f>G21*AP21</f>
        <v>0</v>
      </c>
      <c r="K21" s="54">
        <f>G21*H21</f>
        <v>0</v>
      </c>
      <c r="L21" s="54">
        <f>G21*21</f>
        <v>23.939999999999998</v>
      </c>
      <c r="Z21" s="36">
        <f>IF(AQ21="5",BJ21,0)</f>
        <v>0</v>
      </c>
      <c r="AB21" s="36">
        <f>IF(AQ21="1",BH21,0)</f>
        <v>0</v>
      </c>
      <c r="AC21" s="36">
        <f>IF(AQ21="1",BI21,0)</f>
        <v>0</v>
      </c>
      <c r="AD21" s="36">
        <f>IF(AQ21="7",BH21,0)</f>
        <v>0</v>
      </c>
      <c r="AE21" s="36">
        <f>IF(AQ21="7",BI21,0)</f>
        <v>0</v>
      </c>
      <c r="AF21" s="36">
        <f>IF(AQ21="2",BH21,0)</f>
        <v>0</v>
      </c>
      <c r="AG21" s="36">
        <f>IF(AQ21="2",BI21,0)</f>
        <v>0</v>
      </c>
      <c r="AH21" s="36">
        <f>IF(AQ21="0",BJ21,0)</f>
        <v>0</v>
      </c>
      <c r="AI21" s="59" t="s">
        <v>70</v>
      </c>
      <c r="AJ21" s="54">
        <f>IF(AN21=0,K21,0)</f>
        <v>0</v>
      </c>
      <c r="AK21" s="54">
        <f>IF(AN21=15,K21,0)</f>
        <v>0</v>
      </c>
      <c r="AL21" s="54">
        <f>IF(AN21=21,K21,0)</f>
        <v>0</v>
      </c>
      <c r="AN21" s="36">
        <v>21</v>
      </c>
      <c r="AO21" s="36">
        <f>H21*0</f>
        <v>0</v>
      </c>
      <c r="AP21" s="36">
        <f>H21*(1-0)</f>
        <v>0</v>
      </c>
      <c r="AQ21" s="60" t="s">
        <v>83</v>
      </c>
      <c r="AV21" s="36">
        <f>AW21+AX21</f>
        <v>0</v>
      </c>
      <c r="AW21" s="36">
        <f>G21*AO21</f>
        <v>0</v>
      </c>
      <c r="AX21" s="36">
        <f>G21*AP21</f>
        <v>0</v>
      </c>
      <c r="AY21" s="62" t="s">
        <v>420</v>
      </c>
      <c r="AZ21" s="62" t="s">
        <v>438</v>
      </c>
      <c r="BA21" s="59" t="s">
        <v>447</v>
      </c>
      <c r="BC21" s="36">
        <f>AW21+AX21</f>
        <v>0</v>
      </c>
      <c r="BD21" s="36">
        <f>H21/(100-BE21)*100</f>
        <v>0</v>
      </c>
      <c r="BE21" s="36">
        <v>0</v>
      </c>
      <c r="BF21" s="36">
        <f>L21</f>
        <v>23.939999999999998</v>
      </c>
      <c r="BH21" s="54">
        <f>G21*AO21</f>
        <v>0</v>
      </c>
      <c r="BI21" s="54">
        <f>G21*AP21</f>
        <v>0</v>
      </c>
      <c r="BJ21" s="54">
        <f>G21*H21</f>
        <v>0</v>
      </c>
    </row>
    <row r="22" spans="1:62" ht="12.75">
      <c r="A22" s="47" t="s">
        <v>87</v>
      </c>
      <c r="B22" s="47" t="s">
        <v>185</v>
      </c>
      <c r="C22" s="176" t="s">
        <v>285</v>
      </c>
      <c r="D22" s="172"/>
      <c r="E22" s="172"/>
      <c r="F22" s="47" t="s">
        <v>397</v>
      </c>
      <c r="G22" s="54">
        <v>0.38</v>
      </c>
      <c r="H22" s="54">
        <v>0</v>
      </c>
      <c r="I22" s="54">
        <f>G22*AO22</f>
        <v>0</v>
      </c>
      <c r="J22" s="54">
        <f>G22*AP22</f>
        <v>0</v>
      </c>
      <c r="K22" s="54">
        <f>G22*H22</f>
        <v>0</v>
      </c>
      <c r="L22" s="54">
        <f>G22*22</f>
        <v>8.36</v>
      </c>
      <c r="Z22" s="36">
        <f>IF(AQ22="5",BJ22,0)</f>
        <v>0</v>
      </c>
      <c r="AB22" s="36">
        <f>IF(AQ22="1",BH22,0)</f>
        <v>0</v>
      </c>
      <c r="AC22" s="36">
        <f>IF(AQ22="1",BI22,0)</f>
        <v>0</v>
      </c>
      <c r="AD22" s="36">
        <f>IF(AQ22="7",BH22,0)</f>
        <v>0</v>
      </c>
      <c r="AE22" s="36">
        <f>IF(AQ22="7",BI22,0)</f>
        <v>0</v>
      </c>
      <c r="AF22" s="36">
        <f>IF(AQ22="2",BH22,0)</f>
        <v>0</v>
      </c>
      <c r="AG22" s="36">
        <f>IF(AQ22="2",BI22,0)</f>
        <v>0</v>
      </c>
      <c r="AH22" s="36">
        <f>IF(AQ22="0",BJ22,0)</f>
        <v>0</v>
      </c>
      <c r="AI22" s="59" t="s">
        <v>70</v>
      </c>
      <c r="AJ22" s="54">
        <f>IF(AN22=0,K22,0)</f>
        <v>0</v>
      </c>
      <c r="AK22" s="54">
        <f>IF(AN22=15,K22,0)</f>
        <v>0</v>
      </c>
      <c r="AL22" s="54">
        <f>IF(AN22=21,K22,0)</f>
        <v>0</v>
      </c>
      <c r="AN22" s="36">
        <v>21</v>
      </c>
      <c r="AO22" s="36">
        <f>H22*0</f>
        <v>0</v>
      </c>
      <c r="AP22" s="36">
        <f>H22*(1-0)</f>
        <v>0</v>
      </c>
      <c r="AQ22" s="60" t="s">
        <v>83</v>
      </c>
      <c r="AV22" s="36">
        <f>AW22+AX22</f>
        <v>0</v>
      </c>
      <c r="AW22" s="36">
        <f>G22*AO22</f>
        <v>0</v>
      </c>
      <c r="AX22" s="36">
        <f>G22*AP22</f>
        <v>0</v>
      </c>
      <c r="AY22" s="62" t="s">
        <v>420</v>
      </c>
      <c r="AZ22" s="62" t="s">
        <v>438</v>
      </c>
      <c r="BA22" s="59" t="s">
        <v>447</v>
      </c>
      <c r="BC22" s="36">
        <f>AW22+AX22</f>
        <v>0</v>
      </c>
      <c r="BD22" s="36">
        <f>H22/(100-BE22)*100</f>
        <v>0</v>
      </c>
      <c r="BE22" s="36">
        <v>0</v>
      </c>
      <c r="BF22" s="36">
        <f>L22</f>
        <v>8.36</v>
      </c>
      <c r="BH22" s="54">
        <f>G22*AO22</f>
        <v>0</v>
      </c>
      <c r="BI22" s="54">
        <f>G22*AP22</f>
        <v>0</v>
      </c>
      <c r="BJ22" s="54">
        <f>G22*H22</f>
        <v>0</v>
      </c>
    </row>
    <row r="23" spans="1:47" ht="12.75">
      <c r="A23" s="70"/>
      <c r="B23" s="71" t="s">
        <v>113</v>
      </c>
      <c r="C23" s="191" t="s">
        <v>286</v>
      </c>
      <c r="D23" s="180"/>
      <c r="E23" s="192"/>
      <c r="F23" s="70" t="s">
        <v>68</v>
      </c>
      <c r="G23" s="70" t="s">
        <v>68</v>
      </c>
      <c r="H23" s="70" t="s">
        <v>68</v>
      </c>
      <c r="I23" s="74">
        <f>SUM(I24:I28)</f>
        <v>0</v>
      </c>
      <c r="J23" s="74">
        <f>SUM(J24:J28)</f>
        <v>0</v>
      </c>
      <c r="K23" s="74">
        <f>SUM(K24:K28)</f>
        <v>0</v>
      </c>
      <c r="L23" s="73">
        <f>SUM(L24:L28)</f>
        <v>2666.3</v>
      </c>
      <c r="AI23" s="59" t="s">
        <v>70</v>
      </c>
      <c r="AS23" s="64">
        <f>SUM(AJ24:AJ28)</f>
        <v>0</v>
      </c>
      <c r="AT23" s="64">
        <f>SUM(AK24:AK28)</f>
        <v>0</v>
      </c>
      <c r="AU23" s="64">
        <f>SUM(AL24:AL28)</f>
        <v>0</v>
      </c>
    </row>
    <row r="24" spans="1:62" ht="12.75">
      <c r="A24" s="47" t="s">
        <v>105</v>
      </c>
      <c r="B24" s="47" t="s">
        <v>186</v>
      </c>
      <c r="C24" s="176" t="s">
        <v>287</v>
      </c>
      <c r="D24" s="172"/>
      <c r="E24" s="172"/>
      <c r="F24" s="47" t="s">
        <v>397</v>
      </c>
      <c r="G24" s="54">
        <v>20.51</v>
      </c>
      <c r="H24" s="54">
        <v>0</v>
      </c>
      <c r="I24" s="54">
        <f>G24*AO24</f>
        <v>0</v>
      </c>
      <c r="J24" s="54">
        <f>G24*AP24</f>
        <v>0</v>
      </c>
      <c r="K24" s="54">
        <f>G24*H24</f>
        <v>0</v>
      </c>
      <c r="L24" s="54">
        <f>G24*24</f>
        <v>492.24</v>
      </c>
      <c r="Z24" s="36">
        <f>IF(AQ24="5",BJ24,0)</f>
        <v>0</v>
      </c>
      <c r="AB24" s="36">
        <f>IF(AQ24="1",BH24,0)</f>
        <v>0</v>
      </c>
      <c r="AC24" s="36">
        <f>IF(AQ24="1",BI24,0)</f>
        <v>0</v>
      </c>
      <c r="AD24" s="36">
        <f>IF(AQ24="7",BH24,0)</f>
        <v>0</v>
      </c>
      <c r="AE24" s="36">
        <f>IF(AQ24="7",BI24,0)</f>
        <v>0</v>
      </c>
      <c r="AF24" s="36">
        <f>IF(AQ24="2",BH24,0)</f>
        <v>0</v>
      </c>
      <c r="AG24" s="36">
        <f>IF(AQ24="2",BI24,0)</f>
        <v>0</v>
      </c>
      <c r="AH24" s="36">
        <f>IF(AQ24="0",BJ24,0)</f>
        <v>0</v>
      </c>
      <c r="AI24" s="59" t="s">
        <v>70</v>
      </c>
      <c r="AJ24" s="54">
        <f>IF(AN24=0,K24,0)</f>
        <v>0</v>
      </c>
      <c r="AK24" s="54">
        <f>IF(AN24=15,K24,0)</f>
        <v>0</v>
      </c>
      <c r="AL24" s="54">
        <f>IF(AN24=21,K24,0)</f>
        <v>0</v>
      </c>
      <c r="AN24" s="36">
        <v>21</v>
      </c>
      <c r="AO24" s="36">
        <f>H24*0</f>
        <v>0</v>
      </c>
      <c r="AP24" s="36">
        <f>H24*(1-0)</f>
        <v>0</v>
      </c>
      <c r="AQ24" s="60" t="s">
        <v>83</v>
      </c>
      <c r="AV24" s="36">
        <f>AW24+AX24</f>
        <v>0</v>
      </c>
      <c r="AW24" s="36">
        <f>G24*AO24</f>
        <v>0</v>
      </c>
      <c r="AX24" s="36">
        <f>G24*AP24</f>
        <v>0</v>
      </c>
      <c r="AY24" s="62" t="s">
        <v>421</v>
      </c>
      <c r="AZ24" s="62" t="s">
        <v>438</v>
      </c>
      <c r="BA24" s="59" t="s">
        <v>447</v>
      </c>
      <c r="BC24" s="36">
        <f>AW24+AX24</f>
        <v>0</v>
      </c>
      <c r="BD24" s="36">
        <f>H24/(100-BE24)*100</f>
        <v>0</v>
      </c>
      <c r="BE24" s="36">
        <v>0</v>
      </c>
      <c r="BF24" s="36">
        <f>L24</f>
        <v>492.24</v>
      </c>
      <c r="BH24" s="54">
        <f>G24*AO24</f>
        <v>0</v>
      </c>
      <c r="BI24" s="54">
        <f>G24*AP24</f>
        <v>0</v>
      </c>
      <c r="BJ24" s="54">
        <f>G24*H24</f>
        <v>0</v>
      </c>
    </row>
    <row r="25" spans="1:62" ht="12.75">
      <c r="A25" s="82" t="s">
        <v>106</v>
      </c>
      <c r="B25" s="82" t="s">
        <v>187</v>
      </c>
      <c r="C25" s="171" t="s">
        <v>288</v>
      </c>
      <c r="D25" s="172"/>
      <c r="E25" s="173"/>
      <c r="F25" s="82" t="s">
        <v>397</v>
      </c>
      <c r="G25" s="83">
        <v>20.51</v>
      </c>
      <c r="H25" s="83">
        <v>0</v>
      </c>
      <c r="I25" s="83">
        <f>G25*AO25</f>
        <v>0</v>
      </c>
      <c r="J25" s="83">
        <f>G25*AP25</f>
        <v>0</v>
      </c>
      <c r="K25" s="83">
        <f>G25*H25</f>
        <v>0</v>
      </c>
      <c r="L25" s="78">
        <f>G25*25</f>
        <v>512.75</v>
      </c>
      <c r="Z25" s="36">
        <f>IF(AQ25="5",BJ25,0)</f>
        <v>0</v>
      </c>
      <c r="AB25" s="36">
        <f>IF(AQ25="1",BH25,0)</f>
        <v>0</v>
      </c>
      <c r="AC25" s="36">
        <f>IF(AQ25="1",BI25,0)</f>
        <v>0</v>
      </c>
      <c r="AD25" s="36">
        <f>IF(AQ25="7",BH25,0)</f>
        <v>0</v>
      </c>
      <c r="AE25" s="36">
        <f>IF(AQ25="7",BI25,0)</f>
        <v>0</v>
      </c>
      <c r="AF25" s="36">
        <f>IF(AQ25="2",BH25,0)</f>
        <v>0</v>
      </c>
      <c r="AG25" s="36">
        <f>IF(AQ25="2",BI25,0)</f>
        <v>0</v>
      </c>
      <c r="AH25" s="36">
        <f>IF(AQ25="0",BJ25,0)</f>
        <v>0</v>
      </c>
      <c r="AI25" s="59" t="s">
        <v>70</v>
      </c>
      <c r="AJ25" s="54">
        <f>IF(AN25=0,K25,0)</f>
        <v>0</v>
      </c>
      <c r="AK25" s="54">
        <f>IF(AN25=15,K25,0)</f>
        <v>0</v>
      </c>
      <c r="AL25" s="54">
        <f>IF(AN25=21,K25,0)</f>
        <v>0</v>
      </c>
      <c r="AN25" s="36">
        <v>21</v>
      </c>
      <c r="AO25" s="36">
        <f>H25*0</f>
        <v>0</v>
      </c>
      <c r="AP25" s="36">
        <f>H25*(1-0)</f>
        <v>0</v>
      </c>
      <c r="AQ25" s="60" t="s">
        <v>83</v>
      </c>
      <c r="AV25" s="36">
        <f>AW25+AX25</f>
        <v>0</v>
      </c>
      <c r="AW25" s="36">
        <f>G25*AO25</f>
        <v>0</v>
      </c>
      <c r="AX25" s="36">
        <f>G25*AP25</f>
        <v>0</v>
      </c>
      <c r="AY25" s="62" t="s">
        <v>421</v>
      </c>
      <c r="AZ25" s="62" t="s">
        <v>438</v>
      </c>
      <c r="BA25" s="59" t="s">
        <v>447</v>
      </c>
      <c r="BC25" s="36">
        <f>AW25+AX25</f>
        <v>0</v>
      </c>
      <c r="BD25" s="36">
        <f>H25/(100-BE25)*100</f>
        <v>0</v>
      </c>
      <c r="BE25" s="36">
        <v>0</v>
      </c>
      <c r="BF25" s="36">
        <f>L25</f>
        <v>512.75</v>
      </c>
      <c r="BH25" s="54">
        <f>G25*AO25</f>
        <v>0</v>
      </c>
      <c r="BI25" s="54">
        <f>G25*AP25</f>
        <v>0</v>
      </c>
      <c r="BJ25" s="54">
        <f>G25*H25</f>
        <v>0</v>
      </c>
    </row>
    <row r="26" spans="1:62" ht="12.75">
      <c r="A26" s="82" t="s">
        <v>91</v>
      </c>
      <c r="B26" s="82" t="s">
        <v>188</v>
      </c>
      <c r="C26" s="171" t="s">
        <v>289</v>
      </c>
      <c r="D26" s="172"/>
      <c r="E26" s="173"/>
      <c r="F26" s="82" t="s">
        <v>397</v>
      </c>
      <c r="G26" s="83">
        <v>20.51</v>
      </c>
      <c r="H26" s="83">
        <v>0</v>
      </c>
      <c r="I26" s="83">
        <f>G26*AO26</f>
        <v>0</v>
      </c>
      <c r="J26" s="83">
        <f>G26*AP26</f>
        <v>0</v>
      </c>
      <c r="K26" s="83">
        <f>G26*H26</f>
        <v>0</v>
      </c>
      <c r="L26" s="78">
        <f>G26*26</f>
        <v>533.26</v>
      </c>
      <c r="Z26" s="36">
        <f>IF(AQ26="5",BJ26,0)</f>
        <v>0</v>
      </c>
      <c r="AB26" s="36">
        <f>IF(AQ26="1",BH26,0)</f>
        <v>0</v>
      </c>
      <c r="AC26" s="36">
        <f>IF(AQ26="1",BI26,0)</f>
        <v>0</v>
      </c>
      <c r="AD26" s="36">
        <f>IF(AQ26="7",BH26,0)</f>
        <v>0</v>
      </c>
      <c r="AE26" s="36">
        <f>IF(AQ26="7",BI26,0)</f>
        <v>0</v>
      </c>
      <c r="AF26" s="36">
        <f>IF(AQ26="2",BH26,0)</f>
        <v>0</v>
      </c>
      <c r="AG26" s="36">
        <f>IF(AQ26="2",BI26,0)</f>
        <v>0</v>
      </c>
      <c r="AH26" s="36">
        <f>IF(AQ26="0",BJ26,0)</f>
        <v>0</v>
      </c>
      <c r="AI26" s="59" t="s">
        <v>70</v>
      </c>
      <c r="AJ26" s="54">
        <f>IF(AN26=0,K26,0)</f>
        <v>0</v>
      </c>
      <c r="AK26" s="54">
        <f>IF(AN26=15,K26,0)</f>
        <v>0</v>
      </c>
      <c r="AL26" s="54">
        <f>IF(AN26=21,K26,0)</f>
        <v>0</v>
      </c>
      <c r="AN26" s="36">
        <v>21</v>
      </c>
      <c r="AO26" s="36">
        <f>H26*0</f>
        <v>0</v>
      </c>
      <c r="AP26" s="36">
        <f>H26*(1-0)</f>
        <v>0</v>
      </c>
      <c r="AQ26" s="60" t="s">
        <v>83</v>
      </c>
      <c r="AV26" s="36">
        <f>AW26+AX26</f>
        <v>0</v>
      </c>
      <c r="AW26" s="36">
        <f>G26*AO26</f>
        <v>0</v>
      </c>
      <c r="AX26" s="36">
        <f>G26*AP26</f>
        <v>0</v>
      </c>
      <c r="AY26" s="62" t="s">
        <v>421</v>
      </c>
      <c r="AZ26" s="62" t="s">
        <v>438</v>
      </c>
      <c r="BA26" s="59" t="s">
        <v>447</v>
      </c>
      <c r="BC26" s="36">
        <f>AW26+AX26</f>
        <v>0</v>
      </c>
      <c r="BD26" s="36">
        <f>H26/(100-BE26)*100</f>
        <v>0</v>
      </c>
      <c r="BE26" s="36">
        <v>0</v>
      </c>
      <c r="BF26" s="36">
        <f>L26</f>
        <v>533.26</v>
      </c>
      <c r="BH26" s="54">
        <f>G26*AO26</f>
        <v>0</v>
      </c>
      <c r="BI26" s="54">
        <f>G26*AP26</f>
        <v>0</v>
      </c>
      <c r="BJ26" s="54">
        <f>G26*H26</f>
        <v>0</v>
      </c>
    </row>
    <row r="27" spans="1:62" ht="12.75">
      <c r="A27" s="82" t="s">
        <v>107</v>
      </c>
      <c r="B27" s="82" t="s">
        <v>189</v>
      </c>
      <c r="C27" s="171" t="s">
        <v>290</v>
      </c>
      <c r="D27" s="172"/>
      <c r="E27" s="173"/>
      <c r="F27" s="82" t="s">
        <v>397</v>
      </c>
      <c r="G27" s="83">
        <v>20.51</v>
      </c>
      <c r="H27" s="83">
        <v>0</v>
      </c>
      <c r="I27" s="83">
        <f>G27*AO27</f>
        <v>0</v>
      </c>
      <c r="J27" s="83">
        <f>G27*AP27</f>
        <v>0</v>
      </c>
      <c r="K27" s="83">
        <f>G27*H27</f>
        <v>0</v>
      </c>
      <c r="L27" s="78">
        <f>G27*27</f>
        <v>553.7700000000001</v>
      </c>
      <c r="Z27" s="36">
        <f>IF(AQ27="5",BJ27,0)</f>
        <v>0</v>
      </c>
      <c r="AB27" s="36">
        <f>IF(AQ27="1",BH27,0)</f>
        <v>0</v>
      </c>
      <c r="AC27" s="36">
        <f>IF(AQ27="1",BI27,0)</f>
        <v>0</v>
      </c>
      <c r="AD27" s="36">
        <f>IF(AQ27="7",BH27,0)</f>
        <v>0</v>
      </c>
      <c r="AE27" s="36">
        <f>IF(AQ27="7",BI27,0)</f>
        <v>0</v>
      </c>
      <c r="AF27" s="36">
        <f>IF(AQ27="2",BH27,0)</f>
        <v>0</v>
      </c>
      <c r="AG27" s="36">
        <f>IF(AQ27="2",BI27,0)</f>
        <v>0</v>
      </c>
      <c r="AH27" s="36">
        <f>IF(AQ27="0",BJ27,0)</f>
        <v>0</v>
      </c>
      <c r="AI27" s="59" t="s">
        <v>70</v>
      </c>
      <c r="AJ27" s="54">
        <f>IF(AN27=0,K27,0)</f>
        <v>0</v>
      </c>
      <c r="AK27" s="54">
        <f>IF(AN27=15,K27,0)</f>
        <v>0</v>
      </c>
      <c r="AL27" s="54">
        <f>IF(AN27=21,K27,0)</f>
        <v>0</v>
      </c>
      <c r="AN27" s="36">
        <v>21</v>
      </c>
      <c r="AO27" s="36">
        <f>H27*0</f>
        <v>0</v>
      </c>
      <c r="AP27" s="36">
        <f>H27*(1-0)</f>
        <v>0</v>
      </c>
      <c r="AQ27" s="60" t="s">
        <v>83</v>
      </c>
      <c r="AV27" s="36">
        <f>AW27+AX27</f>
        <v>0</v>
      </c>
      <c r="AW27" s="36">
        <f>G27*AO27</f>
        <v>0</v>
      </c>
      <c r="AX27" s="36">
        <f>G27*AP27</f>
        <v>0</v>
      </c>
      <c r="AY27" s="62" t="s">
        <v>421</v>
      </c>
      <c r="AZ27" s="62" t="s">
        <v>438</v>
      </c>
      <c r="BA27" s="59" t="s">
        <v>447</v>
      </c>
      <c r="BC27" s="36">
        <f>AW27+AX27</f>
        <v>0</v>
      </c>
      <c r="BD27" s="36">
        <f>H27/(100-BE27)*100</f>
        <v>0</v>
      </c>
      <c r="BE27" s="36">
        <v>0</v>
      </c>
      <c r="BF27" s="36">
        <f>L27</f>
        <v>553.7700000000001</v>
      </c>
      <c r="BH27" s="54">
        <f>G27*AO27</f>
        <v>0</v>
      </c>
      <c r="BI27" s="54">
        <f>G27*AP27</f>
        <v>0</v>
      </c>
      <c r="BJ27" s="54">
        <f>G27*H27</f>
        <v>0</v>
      </c>
    </row>
    <row r="28" spans="1:62" ht="12.75">
      <c r="A28" s="82" t="s">
        <v>108</v>
      </c>
      <c r="B28" s="82" t="s">
        <v>190</v>
      </c>
      <c r="C28" s="171" t="s">
        <v>291</v>
      </c>
      <c r="D28" s="172"/>
      <c r="E28" s="173"/>
      <c r="F28" s="82" t="s">
        <v>397</v>
      </c>
      <c r="G28" s="83">
        <v>20.51</v>
      </c>
      <c r="H28" s="83">
        <v>0</v>
      </c>
      <c r="I28" s="83">
        <f>G28*AO28</f>
        <v>0</v>
      </c>
      <c r="J28" s="83">
        <f>G28*AP28</f>
        <v>0</v>
      </c>
      <c r="K28" s="83">
        <f>G28*H28</f>
        <v>0</v>
      </c>
      <c r="L28" s="78">
        <f>G28*28</f>
        <v>574.2800000000001</v>
      </c>
      <c r="Z28" s="36">
        <f>IF(AQ28="5",BJ28,0)</f>
        <v>0</v>
      </c>
      <c r="AB28" s="36">
        <f>IF(AQ28="1",BH28,0)</f>
        <v>0</v>
      </c>
      <c r="AC28" s="36">
        <f>IF(AQ28="1",BI28,0)</f>
        <v>0</v>
      </c>
      <c r="AD28" s="36">
        <f>IF(AQ28="7",BH28,0)</f>
        <v>0</v>
      </c>
      <c r="AE28" s="36">
        <f>IF(AQ28="7",BI28,0)</f>
        <v>0</v>
      </c>
      <c r="AF28" s="36">
        <f>IF(AQ28="2",BH28,0)</f>
        <v>0</v>
      </c>
      <c r="AG28" s="36">
        <f>IF(AQ28="2",BI28,0)</f>
        <v>0</v>
      </c>
      <c r="AH28" s="36">
        <f>IF(AQ28="0",BJ28,0)</f>
        <v>0</v>
      </c>
      <c r="AI28" s="59" t="s">
        <v>70</v>
      </c>
      <c r="AJ28" s="54">
        <f>IF(AN28=0,K28,0)</f>
        <v>0</v>
      </c>
      <c r="AK28" s="54">
        <f>IF(AN28=15,K28,0)</f>
        <v>0</v>
      </c>
      <c r="AL28" s="54">
        <f>IF(AN28=21,K28,0)</f>
        <v>0</v>
      </c>
      <c r="AN28" s="36">
        <v>21</v>
      </c>
      <c r="AO28" s="36">
        <f>H28*0</f>
        <v>0</v>
      </c>
      <c r="AP28" s="36">
        <f>H28*(1-0)</f>
        <v>0</v>
      </c>
      <c r="AQ28" s="60" t="s">
        <v>83</v>
      </c>
      <c r="AV28" s="36">
        <f>AW28+AX28</f>
        <v>0</v>
      </c>
      <c r="AW28" s="36">
        <f>G28*AO28</f>
        <v>0</v>
      </c>
      <c r="AX28" s="36">
        <f>G28*AP28</f>
        <v>0</v>
      </c>
      <c r="AY28" s="62" t="s">
        <v>421</v>
      </c>
      <c r="AZ28" s="62" t="s">
        <v>438</v>
      </c>
      <c r="BA28" s="59" t="s">
        <v>447</v>
      </c>
      <c r="BC28" s="36">
        <f>AW28+AX28</f>
        <v>0</v>
      </c>
      <c r="BD28" s="36">
        <f>H28/(100-BE28)*100</f>
        <v>0</v>
      </c>
      <c r="BE28" s="36">
        <v>0</v>
      </c>
      <c r="BF28" s="36">
        <f>L28</f>
        <v>574.2800000000001</v>
      </c>
      <c r="BH28" s="54">
        <f>G28*AO28</f>
        <v>0</v>
      </c>
      <c r="BI28" s="54">
        <f>G28*AP28</f>
        <v>0</v>
      </c>
      <c r="BJ28" s="54">
        <f>G28*H28</f>
        <v>0</v>
      </c>
    </row>
    <row r="29" spans="1:47" ht="12.75">
      <c r="A29" s="75"/>
      <c r="B29" s="76" t="s">
        <v>115</v>
      </c>
      <c r="C29" s="181" t="s">
        <v>292</v>
      </c>
      <c r="D29" s="180"/>
      <c r="E29" s="182"/>
      <c r="F29" s="75" t="s">
        <v>68</v>
      </c>
      <c r="G29" s="75" t="s">
        <v>68</v>
      </c>
      <c r="H29" s="75" t="s">
        <v>68</v>
      </c>
      <c r="I29" s="81">
        <f>SUM(I30:I31)</f>
        <v>0</v>
      </c>
      <c r="J29" s="81">
        <f>SUM(J30:J31)</f>
        <v>0</v>
      </c>
      <c r="K29" s="81">
        <f>SUM(K30:K31)</f>
        <v>0</v>
      </c>
      <c r="L29" s="72">
        <f>SUM(L30:L31)</f>
        <v>1220</v>
      </c>
      <c r="AI29" s="59" t="s">
        <v>70</v>
      </c>
      <c r="AS29" s="64">
        <f>SUM(AJ30:AJ31)</f>
        <v>0</v>
      </c>
      <c r="AT29" s="64">
        <f>SUM(AK30:AK31)</f>
        <v>0</v>
      </c>
      <c r="AU29" s="64">
        <f>SUM(AL30:AL31)</f>
        <v>0</v>
      </c>
    </row>
    <row r="30" spans="1:62" ht="12.75">
      <c r="A30" s="82" t="s">
        <v>109</v>
      </c>
      <c r="B30" s="82" t="s">
        <v>191</v>
      </c>
      <c r="C30" s="171" t="s">
        <v>293</v>
      </c>
      <c r="D30" s="172"/>
      <c r="E30" s="173"/>
      <c r="F30" s="82" t="s">
        <v>396</v>
      </c>
      <c r="G30" s="83">
        <v>20</v>
      </c>
      <c r="H30" s="83">
        <v>0</v>
      </c>
      <c r="I30" s="83">
        <f>G30*AO30</f>
        <v>0</v>
      </c>
      <c r="J30" s="83">
        <f>G30*AP30</f>
        <v>0</v>
      </c>
      <c r="K30" s="83">
        <f>G30*H30</f>
        <v>0</v>
      </c>
      <c r="L30" s="78">
        <f>G30*30</f>
        <v>600</v>
      </c>
      <c r="Z30" s="36">
        <f>IF(AQ30="5",BJ30,0)</f>
        <v>0</v>
      </c>
      <c r="AB30" s="36">
        <f>IF(AQ30="1",BH30,0)</f>
        <v>0</v>
      </c>
      <c r="AC30" s="36">
        <f>IF(AQ30="1",BI30,0)</f>
        <v>0</v>
      </c>
      <c r="AD30" s="36">
        <f>IF(AQ30="7",BH30,0)</f>
        <v>0</v>
      </c>
      <c r="AE30" s="36">
        <f>IF(AQ30="7",BI30,0)</f>
        <v>0</v>
      </c>
      <c r="AF30" s="36">
        <f>IF(AQ30="2",BH30,0)</f>
        <v>0</v>
      </c>
      <c r="AG30" s="36">
        <f>IF(AQ30="2",BI30,0)</f>
        <v>0</v>
      </c>
      <c r="AH30" s="36">
        <f>IF(AQ30="0",BJ30,0)</f>
        <v>0</v>
      </c>
      <c r="AI30" s="59" t="s">
        <v>70</v>
      </c>
      <c r="AJ30" s="54">
        <f>IF(AN30=0,K30,0)</f>
        <v>0</v>
      </c>
      <c r="AK30" s="54">
        <f>IF(AN30=15,K30,0)</f>
        <v>0</v>
      </c>
      <c r="AL30" s="54">
        <f>IF(AN30=21,K30,0)</f>
        <v>0</v>
      </c>
      <c r="AN30" s="36">
        <v>21</v>
      </c>
      <c r="AO30" s="36">
        <f>H30*0</f>
        <v>0</v>
      </c>
      <c r="AP30" s="36">
        <f>H30*(1-0)</f>
        <v>0</v>
      </c>
      <c r="AQ30" s="60" t="s">
        <v>83</v>
      </c>
      <c r="AV30" s="36">
        <f>AW30+AX30</f>
        <v>0</v>
      </c>
      <c r="AW30" s="36">
        <f>G30*AO30</f>
        <v>0</v>
      </c>
      <c r="AX30" s="36">
        <f>G30*AP30</f>
        <v>0</v>
      </c>
      <c r="AY30" s="62" t="s">
        <v>422</v>
      </c>
      <c r="AZ30" s="62" t="s">
        <v>438</v>
      </c>
      <c r="BA30" s="59" t="s">
        <v>447</v>
      </c>
      <c r="BC30" s="36">
        <f>AW30+AX30</f>
        <v>0</v>
      </c>
      <c r="BD30" s="36">
        <f>H30/(100-BE30)*100</f>
        <v>0</v>
      </c>
      <c r="BE30" s="36">
        <v>0</v>
      </c>
      <c r="BF30" s="36">
        <f>L30</f>
        <v>600</v>
      </c>
      <c r="BH30" s="54">
        <f>G30*AO30</f>
        <v>0</v>
      </c>
      <c r="BI30" s="54">
        <f>G30*AP30</f>
        <v>0</v>
      </c>
      <c r="BJ30" s="54">
        <f>G30*H30</f>
        <v>0</v>
      </c>
    </row>
    <row r="31" spans="1:62" ht="12.75">
      <c r="A31" s="82" t="s">
        <v>110</v>
      </c>
      <c r="B31" s="82" t="s">
        <v>192</v>
      </c>
      <c r="C31" s="171" t="s">
        <v>294</v>
      </c>
      <c r="D31" s="172"/>
      <c r="E31" s="173"/>
      <c r="F31" s="82" t="s">
        <v>396</v>
      </c>
      <c r="G31" s="83">
        <v>20</v>
      </c>
      <c r="H31" s="83">
        <v>0</v>
      </c>
      <c r="I31" s="83">
        <f>G31*AO31</f>
        <v>0</v>
      </c>
      <c r="J31" s="83">
        <f>G31*AP31</f>
        <v>0</v>
      </c>
      <c r="K31" s="83">
        <f>G31*H31</f>
        <v>0</v>
      </c>
      <c r="L31" s="78">
        <f>G31*31</f>
        <v>620</v>
      </c>
      <c r="Z31" s="36">
        <f>IF(AQ31="5",BJ31,0)</f>
        <v>0</v>
      </c>
      <c r="AB31" s="36">
        <f>IF(AQ31="1",BH31,0)</f>
        <v>0</v>
      </c>
      <c r="AC31" s="36">
        <f>IF(AQ31="1",BI31,0)</f>
        <v>0</v>
      </c>
      <c r="AD31" s="36">
        <f>IF(AQ31="7",BH31,0)</f>
        <v>0</v>
      </c>
      <c r="AE31" s="36">
        <f>IF(AQ31="7",BI31,0)</f>
        <v>0</v>
      </c>
      <c r="AF31" s="36">
        <f>IF(AQ31="2",BH31,0)</f>
        <v>0</v>
      </c>
      <c r="AG31" s="36">
        <f>IF(AQ31="2",BI31,0)</f>
        <v>0</v>
      </c>
      <c r="AH31" s="36">
        <f>IF(AQ31="0",BJ31,0)</f>
        <v>0</v>
      </c>
      <c r="AI31" s="59" t="s">
        <v>70</v>
      </c>
      <c r="AJ31" s="54">
        <f>IF(AN31=0,K31,0)</f>
        <v>0</v>
      </c>
      <c r="AK31" s="54">
        <f>IF(AN31=15,K31,0)</f>
        <v>0</v>
      </c>
      <c r="AL31" s="54">
        <f>IF(AN31=21,K31,0)</f>
        <v>0</v>
      </c>
      <c r="AN31" s="36">
        <v>21</v>
      </c>
      <c r="AO31" s="36">
        <f>H31*0.0888888888888889</f>
        <v>0</v>
      </c>
      <c r="AP31" s="36">
        <f>H31*(1-0.0888888888888889)</f>
        <v>0</v>
      </c>
      <c r="AQ31" s="60" t="s">
        <v>83</v>
      </c>
      <c r="AV31" s="36">
        <f>AW31+AX31</f>
        <v>0</v>
      </c>
      <c r="AW31" s="36">
        <f>G31*AO31</f>
        <v>0</v>
      </c>
      <c r="AX31" s="36">
        <f>G31*AP31</f>
        <v>0</v>
      </c>
      <c r="AY31" s="62" t="s">
        <v>422</v>
      </c>
      <c r="AZ31" s="62" t="s">
        <v>438</v>
      </c>
      <c r="BA31" s="59" t="s">
        <v>447</v>
      </c>
      <c r="BC31" s="36">
        <f>AW31+AX31</f>
        <v>0</v>
      </c>
      <c r="BD31" s="36">
        <f>H31/(100-BE31)*100</f>
        <v>0</v>
      </c>
      <c r="BE31" s="36">
        <v>0</v>
      </c>
      <c r="BF31" s="36">
        <f>L31</f>
        <v>620</v>
      </c>
      <c r="BH31" s="54">
        <f>G31*AO31</f>
        <v>0</v>
      </c>
      <c r="BI31" s="54">
        <f>G31*AP31</f>
        <v>0</v>
      </c>
      <c r="BJ31" s="54">
        <f>G31*H31</f>
        <v>0</v>
      </c>
    </row>
    <row r="32" spans="1:47" ht="12.75">
      <c r="A32" s="75"/>
      <c r="B32" s="76" t="s">
        <v>124</v>
      </c>
      <c r="C32" s="181" t="s">
        <v>295</v>
      </c>
      <c r="D32" s="180"/>
      <c r="E32" s="182"/>
      <c r="F32" s="75" t="s">
        <v>68</v>
      </c>
      <c r="G32" s="75" t="s">
        <v>68</v>
      </c>
      <c r="H32" s="75" t="s">
        <v>68</v>
      </c>
      <c r="I32" s="81">
        <f>SUM(I33:I34)</f>
        <v>0</v>
      </c>
      <c r="J32" s="81">
        <f>SUM(J33:J34)</f>
        <v>0</v>
      </c>
      <c r="K32" s="81">
        <f>SUM(K33:K34)</f>
        <v>0</v>
      </c>
      <c r="L32" s="72">
        <f>SUM(L33:L34)</f>
        <v>137.92000000000002</v>
      </c>
      <c r="AI32" s="59" t="s">
        <v>70</v>
      </c>
      <c r="AS32" s="64">
        <f>SUM(AJ33:AJ34)</f>
        <v>0</v>
      </c>
      <c r="AT32" s="64">
        <f>SUM(AK33:AK34)</f>
        <v>0</v>
      </c>
      <c r="AU32" s="64">
        <f>SUM(AL33:AL34)</f>
        <v>0</v>
      </c>
    </row>
    <row r="33" spans="1:62" ht="12.75">
      <c r="A33" s="82" t="s">
        <v>111</v>
      </c>
      <c r="B33" s="82" t="s">
        <v>193</v>
      </c>
      <c r="C33" s="171" t="s">
        <v>296</v>
      </c>
      <c r="D33" s="172"/>
      <c r="E33" s="173"/>
      <c r="F33" s="82" t="s">
        <v>397</v>
      </c>
      <c r="G33" s="83">
        <v>1.14</v>
      </c>
      <c r="H33" s="83">
        <v>0</v>
      </c>
      <c r="I33" s="83">
        <f>G33*AO33</f>
        <v>0</v>
      </c>
      <c r="J33" s="83">
        <f>G33*AP33</f>
        <v>0</v>
      </c>
      <c r="K33" s="83">
        <f>G33*H33</f>
        <v>0</v>
      </c>
      <c r="L33" s="78">
        <f>G33*33</f>
        <v>37.62</v>
      </c>
      <c r="Z33" s="36">
        <f>IF(AQ33="5",BJ33,0)</f>
        <v>0</v>
      </c>
      <c r="AB33" s="36">
        <f>IF(AQ33="1",BH33,0)</f>
        <v>0</v>
      </c>
      <c r="AC33" s="36">
        <f>IF(AQ33="1",BI33,0)</f>
        <v>0</v>
      </c>
      <c r="AD33" s="36">
        <f>IF(AQ33="7",BH33,0)</f>
        <v>0</v>
      </c>
      <c r="AE33" s="36">
        <f>IF(AQ33="7",BI33,0)</f>
        <v>0</v>
      </c>
      <c r="AF33" s="36">
        <f>IF(AQ33="2",BH33,0)</f>
        <v>0</v>
      </c>
      <c r="AG33" s="36">
        <f>IF(AQ33="2",BI33,0)</f>
        <v>0</v>
      </c>
      <c r="AH33" s="36">
        <f>IF(AQ33="0",BJ33,0)</f>
        <v>0</v>
      </c>
      <c r="AI33" s="59" t="s">
        <v>70</v>
      </c>
      <c r="AJ33" s="54">
        <f>IF(AN33=0,K33,0)</f>
        <v>0</v>
      </c>
      <c r="AK33" s="54">
        <f>IF(AN33=15,K33,0)</f>
        <v>0</v>
      </c>
      <c r="AL33" s="54">
        <f>IF(AN33=21,K33,0)</f>
        <v>0</v>
      </c>
      <c r="AN33" s="36">
        <v>21</v>
      </c>
      <c r="AO33" s="36">
        <f>H33*0.931826271186441</f>
        <v>0</v>
      </c>
      <c r="AP33" s="36">
        <f>H33*(1-0.931826271186441)</f>
        <v>0</v>
      </c>
      <c r="AQ33" s="60" t="s">
        <v>83</v>
      </c>
      <c r="AV33" s="36">
        <f>AW33+AX33</f>
        <v>0</v>
      </c>
      <c r="AW33" s="36">
        <f>G33*AO33</f>
        <v>0</v>
      </c>
      <c r="AX33" s="36">
        <f>G33*AP33</f>
        <v>0</v>
      </c>
      <c r="AY33" s="62" t="s">
        <v>423</v>
      </c>
      <c r="AZ33" s="62" t="s">
        <v>439</v>
      </c>
      <c r="BA33" s="59" t="s">
        <v>447</v>
      </c>
      <c r="BC33" s="36">
        <f>AW33+AX33</f>
        <v>0</v>
      </c>
      <c r="BD33" s="36">
        <f>H33/(100-BE33)*100</f>
        <v>0</v>
      </c>
      <c r="BE33" s="36">
        <v>0</v>
      </c>
      <c r="BF33" s="36">
        <f>L33</f>
        <v>37.62</v>
      </c>
      <c r="BH33" s="54">
        <f>G33*AO33</f>
        <v>0</v>
      </c>
      <c r="BI33" s="54">
        <f>G33*AP33</f>
        <v>0</v>
      </c>
      <c r="BJ33" s="54">
        <f>G33*H33</f>
        <v>0</v>
      </c>
    </row>
    <row r="34" spans="1:62" ht="12.75">
      <c r="A34" s="77" t="s">
        <v>112</v>
      </c>
      <c r="B34" s="77" t="s">
        <v>194</v>
      </c>
      <c r="C34" s="174" t="s">
        <v>297</v>
      </c>
      <c r="D34" s="172"/>
      <c r="E34" s="175"/>
      <c r="F34" s="77" t="s">
        <v>398</v>
      </c>
      <c r="G34" s="80">
        <v>2.95</v>
      </c>
      <c r="H34" s="80">
        <v>0</v>
      </c>
      <c r="I34" s="80">
        <f>G34*AO34</f>
        <v>0</v>
      </c>
      <c r="J34" s="80">
        <f>G34*AP34</f>
        <v>0</v>
      </c>
      <c r="K34" s="80">
        <f>G34*H34</f>
        <v>0</v>
      </c>
      <c r="L34" s="79">
        <f>G34*34</f>
        <v>100.30000000000001</v>
      </c>
      <c r="Z34" s="36">
        <f>IF(AQ34="5",BJ34,0)</f>
        <v>0</v>
      </c>
      <c r="AB34" s="36">
        <f>IF(AQ34="1",BH34,0)</f>
        <v>0</v>
      </c>
      <c r="AC34" s="36">
        <f>IF(AQ34="1",BI34,0)</f>
        <v>0</v>
      </c>
      <c r="AD34" s="36">
        <f>IF(AQ34="7",BH34,0)</f>
        <v>0</v>
      </c>
      <c r="AE34" s="36">
        <f>IF(AQ34="7",BI34,0)</f>
        <v>0</v>
      </c>
      <c r="AF34" s="36">
        <f>IF(AQ34="2",BH34,0)</f>
        <v>0</v>
      </c>
      <c r="AG34" s="36">
        <f>IF(AQ34="2",BI34,0)</f>
        <v>0</v>
      </c>
      <c r="AH34" s="36">
        <f>IF(AQ34="0",BJ34,0)</f>
        <v>0</v>
      </c>
      <c r="AI34" s="59" t="s">
        <v>70</v>
      </c>
      <c r="AJ34" s="54">
        <f>IF(AN34=0,K34,0)</f>
        <v>0</v>
      </c>
      <c r="AK34" s="54">
        <f>IF(AN34=15,K34,0)</f>
        <v>0</v>
      </c>
      <c r="AL34" s="54">
        <f>IF(AN34=21,K34,0)</f>
        <v>0</v>
      </c>
      <c r="AN34" s="36">
        <v>21</v>
      </c>
      <c r="AO34" s="36">
        <f>H34*0</f>
        <v>0</v>
      </c>
      <c r="AP34" s="36">
        <f>H34*(1-0)</f>
        <v>0</v>
      </c>
      <c r="AQ34" s="60" t="s">
        <v>86</v>
      </c>
      <c r="AV34" s="36">
        <f>AW34+AX34</f>
        <v>0</v>
      </c>
      <c r="AW34" s="36">
        <f>G34*AO34</f>
        <v>0</v>
      </c>
      <c r="AX34" s="36">
        <f>G34*AP34</f>
        <v>0</v>
      </c>
      <c r="AY34" s="62" t="s">
        <v>423</v>
      </c>
      <c r="AZ34" s="62" t="s">
        <v>439</v>
      </c>
      <c r="BA34" s="59" t="s">
        <v>447</v>
      </c>
      <c r="BC34" s="36">
        <f>AW34+AX34</f>
        <v>0</v>
      </c>
      <c r="BD34" s="36">
        <f>H34/(100-BE34)*100</f>
        <v>0</v>
      </c>
      <c r="BE34" s="36">
        <v>0</v>
      </c>
      <c r="BF34" s="36">
        <f>L34</f>
        <v>100.30000000000001</v>
      </c>
      <c r="BH34" s="54">
        <f>G34*AO34</f>
        <v>0</v>
      </c>
      <c r="BI34" s="54">
        <f>G34*AP34</f>
        <v>0</v>
      </c>
      <c r="BJ34" s="54">
        <f>G34*H34</f>
        <v>0</v>
      </c>
    </row>
    <row r="35" spans="1:47" ht="12.75">
      <c r="A35" s="46"/>
      <c r="B35" s="52" t="s">
        <v>128</v>
      </c>
      <c r="C35" s="179" t="s">
        <v>298</v>
      </c>
      <c r="D35" s="180"/>
      <c r="E35" s="180"/>
      <c r="F35" s="46" t="s">
        <v>68</v>
      </c>
      <c r="G35" s="46" t="s">
        <v>68</v>
      </c>
      <c r="H35" s="46" t="s">
        <v>68</v>
      </c>
      <c r="I35" s="64">
        <f>SUM(I36:I38)</f>
        <v>0</v>
      </c>
      <c r="J35" s="64">
        <f>SUM(J36:J38)</f>
        <v>0</v>
      </c>
      <c r="K35" s="64">
        <f>SUM(K36:K38)</f>
        <v>0</v>
      </c>
      <c r="L35" s="64">
        <f>SUM(L36:L38)</f>
        <v>60.379999999999995</v>
      </c>
      <c r="AI35" s="59" t="s">
        <v>70</v>
      </c>
      <c r="AS35" s="64">
        <f>SUM(AJ36:AJ38)</f>
        <v>0</v>
      </c>
      <c r="AT35" s="64">
        <f>SUM(AK36:AK38)</f>
        <v>0</v>
      </c>
      <c r="AU35" s="64">
        <f>SUM(AL36:AL38)</f>
        <v>0</v>
      </c>
    </row>
    <row r="36" spans="1:62" ht="12.75">
      <c r="A36" s="47" t="s">
        <v>113</v>
      </c>
      <c r="B36" s="47" t="s">
        <v>195</v>
      </c>
      <c r="C36" s="176" t="s">
        <v>299</v>
      </c>
      <c r="D36" s="172"/>
      <c r="E36" s="172"/>
      <c r="F36" s="47" t="s">
        <v>397</v>
      </c>
      <c r="G36" s="54">
        <v>0.59</v>
      </c>
      <c r="H36" s="54">
        <v>0</v>
      </c>
      <c r="I36" s="54">
        <f>G36*AO36</f>
        <v>0</v>
      </c>
      <c r="J36" s="54">
        <f>G36*AP36</f>
        <v>0</v>
      </c>
      <c r="K36" s="54">
        <f>G36*H36</f>
        <v>0</v>
      </c>
      <c r="L36" s="54">
        <f>G36*36</f>
        <v>21.24</v>
      </c>
      <c r="Z36" s="36">
        <f>IF(AQ36="5",BJ36,0)</f>
        <v>0</v>
      </c>
      <c r="AB36" s="36">
        <f>IF(AQ36="1",BH36,0)</f>
        <v>0</v>
      </c>
      <c r="AC36" s="36">
        <f>IF(AQ36="1",BI36,0)</f>
        <v>0</v>
      </c>
      <c r="AD36" s="36">
        <f>IF(AQ36="7",BH36,0)</f>
        <v>0</v>
      </c>
      <c r="AE36" s="36">
        <f>IF(AQ36="7",BI36,0)</f>
        <v>0</v>
      </c>
      <c r="AF36" s="36">
        <f>IF(AQ36="2",BH36,0)</f>
        <v>0</v>
      </c>
      <c r="AG36" s="36">
        <f>IF(AQ36="2",BI36,0)</f>
        <v>0</v>
      </c>
      <c r="AH36" s="36">
        <f>IF(AQ36="0",BJ36,0)</f>
        <v>0</v>
      </c>
      <c r="AI36" s="59" t="s">
        <v>70</v>
      </c>
      <c r="AJ36" s="54">
        <f>IF(AN36=0,K36,0)</f>
        <v>0</v>
      </c>
      <c r="AK36" s="54">
        <f>IF(AN36=15,K36,0)</f>
        <v>0</v>
      </c>
      <c r="AL36" s="54">
        <f>IF(AN36=21,K36,0)</f>
        <v>0</v>
      </c>
      <c r="AN36" s="36">
        <v>21</v>
      </c>
      <c r="AO36" s="36">
        <f>H36*0.623983333333333</f>
        <v>0</v>
      </c>
      <c r="AP36" s="36">
        <f>H36*(1-0.623983333333333)</f>
        <v>0</v>
      </c>
      <c r="AQ36" s="60" t="s">
        <v>83</v>
      </c>
      <c r="AV36" s="36">
        <f>AW36+AX36</f>
        <v>0</v>
      </c>
      <c r="AW36" s="36">
        <f>G36*AO36</f>
        <v>0</v>
      </c>
      <c r="AX36" s="36">
        <f>G36*AP36</f>
        <v>0</v>
      </c>
      <c r="AY36" s="62" t="s">
        <v>424</v>
      </c>
      <c r="AZ36" s="62" t="s">
        <v>440</v>
      </c>
      <c r="BA36" s="59" t="s">
        <v>447</v>
      </c>
      <c r="BC36" s="36">
        <f>AW36+AX36</f>
        <v>0</v>
      </c>
      <c r="BD36" s="36">
        <f>H36/(100-BE36)*100</f>
        <v>0</v>
      </c>
      <c r="BE36" s="36">
        <v>0</v>
      </c>
      <c r="BF36" s="36">
        <f>L36</f>
        <v>21.24</v>
      </c>
      <c r="BH36" s="54">
        <f>G36*AO36</f>
        <v>0</v>
      </c>
      <c r="BI36" s="54">
        <f>G36*AP36</f>
        <v>0</v>
      </c>
      <c r="BJ36" s="54">
        <f>G36*H36</f>
        <v>0</v>
      </c>
    </row>
    <row r="37" spans="3:5" ht="12.75">
      <c r="C37" s="185" t="s">
        <v>300</v>
      </c>
      <c r="D37" s="186"/>
      <c r="E37" s="186"/>
    </row>
    <row r="38" spans="1:62" ht="12.75">
      <c r="A38" s="77" t="s">
        <v>114</v>
      </c>
      <c r="B38" s="77" t="s">
        <v>196</v>
      </c>
      <c r="C38" s="174" t="s">
        <v>301</v>
      </c>
      <c r="D38" s="172"/>
      <c r="E38" s="175"/>
      <c r="F38" s="77" t="s">
        <v>398</v>
      </c>
      <c r="G38" s="80">
        <v>1.03</v>
      </c>
      <c r="H38" s="80">
        <v>0</v>
      </c>
      <c r="I38" s="80">
        <f>G38*AO38</f>
        <v>0</v>
      </c>
      <c r="J38" s="80">
        <f>G38*AP38</f>
        <v>0</v>
      </c>
      <c r="K38" s="80">
        <f>G38*H38</f>
        <v>0</v>
      </c>
      <c r="L38" s="79">
        <f>G38*38</f>
        <v>39.14</v>
      </c>
      <c r="Z38" s="36">
        <f>IF(AQ38="5",BJ38,0)</f>
        <v>0</v>
      </c>
      <c r="AB38" s="36">
        <f>IF(AQ38="1",BH38,0)</f>
        <v>0</v>
      </c>
      <c r="AC38" s="36">
        <f>IF(AQ38="1",BI38,0)</f>
        <v>0</v>
      </c>
      <c r="AD38" s="36">
        <f>IF(AQ38="7",BH38,0)</f>
        <v>0</v>
      </c>
      <c r="AE38" s="36">
        <f>IF(AQ38="7",BI38,0)</f>
        <v>0</v>
      </c>
      <c r="AF38" s="36">
        <f>IF(AQ38="2",BH38,0)</f>
        <v>0</v>
      </c>
      <c r="AG38" s="36">
        <f>IF(AQ38="2",BI38,0)</f>
        <v>0</v>
      </c>
      <c r="AH38" s="36">
        <f>IF(AQ38="0",BJ38,0)</f>
        <v>0</v>
      </c>
      <c r="AI38" s="59" t="s">
        <v>70</v>
      </c>
      <c r="AJ38" s="54">
        <f>IF(AN38=0,K38,0)</f>
        <v>0</v>
      </c>
      <c r="AK38" s="54">
        <f>IF(AN38=15,K38,0)</f>
        <v>0</v>
      </c>
      <c r="AL38" s="54">
        <f>IF(AN38=21,K38,0)</f>
        <v>0</v>
      </c>
      <c r="AN38" s="36">
        <v>21</v>
      </c>
      <c r="AO38" s="36">
        <f>H38*0</f>
        <v>0</v>
      </c>
      <c r="AP38" s="36">
        <f>H38*(1-0)</f>
        <v>0</v>
      </c>
      <c r="AQ38" s="60" t="s">
        <v>86</v>
      </c>
      <c r="AV38" s="36">
        <f>AW38+AX38</f>
        <v>0</v>
      </c>
      <c r="AW38" s="36">
        <f>G38*AO38</f>
        <v>0</v>
      </c>
      <c r="AX38" s="36">
        <f>G38*AP38</f>
        <v>0</v>
      </c>
      <c r="AY38" s="62" t="s">
        <v>424</v>
      </c>
      <c r="AZ38" s="62" t="s">
        <v>440</v>
      </c>
      <c r="BA38" s="59" t="s">
        <v>447</v>
      </c>
      <c r="BC38" s="36">
        <f>AW38+AX38</f>
        <v>0</v>
      </c>
      <c r="BD38" s="36">
        <f>H38/(100-BE38)*100</f>
        <v>0</v>
      </c>
      <c r="BE38" s="36">
        <v>0</v>
      </c>
      <c r="BF38" s="36">
        <f>L38</f>
        <v>39.14</v>
      </c>
      <c r="BH38" s="54">
        <f>G38*AO38</f>
        <v>0</v>
      </c>
      <c r="BI38" s="54">
        <f>G38*AP38</f>
        <v>0</v>
      </c>
      <c r="BJ38" s="54">
        <f>G38*H38</f>
        <v>0</v>
      </c>
    </row>
    <row r="39" spans="1:47" ht="12.75">
      <c r="A39" s="46"/>
      <c r="B39" s="52" t="s">
        <v>130</v>
      </c>
      <c r="C39" s="179" t="s">
        <v>302</v>
      </c>
      <c r="D39" s="180"/>
      <c r="E39" s="180"/>
      <c r="F39" s="46" t="s">
        <v>68</v>
      </c>
      <c r="G39" s="46" t="s">
        <v>68</v>
      </c>
      <c r="H39" s="46" t="s">
        <v>68</v>
      </c>
      <c r="I39" s="64">
        <f>SUM(I40:I43)</f>
        <v>0</v>
      </c>
      <c r="J39" s="64">
        <f>SUM(J40:J43)</f>
        <v>0</v>
      </c>
      <c r="K39" s="64">
        <f>SUM(K40:K43)</f>
        <v>0</v>
      </c>
      <c r="L39" s="64">
        <f>SUM(L40:L43)</f>
        <v>183.94</v>
      </c>
      <c r="AI39" s="59" t="s">
        <v>70</v>
      </c>
      <c r="AS39" s="64">
        <f>SUM(AJ40:AJ43)</f>
        <v>0</v>
      </c>
      <c r="AT39" s="64">
        <f>SUM(AK40:AK43)</f>
        <v>0</v>
      </c>
      <c r="AU39" s="64">
        <f>SUM(AL40:AL43)</f>
        <v>0</v>
      </c>
    </row>
    <row r="40" spans="1:62" ht="12.75">
      <c r="A40" s="47" t="s">
        <v>115</v>
      </c>
      <c r="B40" s="47" t="s">
        <v>197</v>
      </c>
      <c r="C40" s="176" t="s">
        <v>303</v>
      </c>
      <c r="D40" s="172"/>
      <c r="E40" s="172"/>
      <c r="F40" s="47" t="s">
        <v>397</v>
      </c>
      <c r="G40" s="54">
        <v>0.47</v>
      </c>
      <c r="H40" s="54">
        <v>0</v>
      </c>
      <c r="I40" s="54">
        <f>G40*AO40</f>
        <v>0</v>
      </c>
      <c r="J40" s="54">
        <f>G40*AP40</f>
        <v>0</v>
      </c>
      <c r="K40" s="54">
        <f>G40*H40</f>
        <v>0</v>
      </c>
      <c r="L40" s="54">
        <f>G40*40</f>
        <v>18.799999999999997</v>
      </c>
      <c r="Z40" s="36">
        <f>IF(AQ40="5",BJ40,0)</f>
        <v>0</v>
      </c>
      <c r="AB40" s="36">
        <f>IF(AQ40="1",BH40,0)</f>
        <v>0</v>
      </c>
      <c r="AC40" s="36">
        <f>IF(AQ40="1",BI40,0)</f>
        <v>0</v>
      </c>
      <c r="AD40" s="36">
        <f>IF(AQ40="7",BH40,0)</f>
        <v>0</v>
      </c>
      <c r="AE40" s="36">
        <f>IF(AQ40="7",BI40,0)</f>
        <v>0</v>
      </c>
      <c r="AF40" s="36">
        <f>IF(AQ40="2",BH40,0)</f>
        <v>0</v>
      </c>
      <c r="AG40" s="36">
        <f>IF(AQ40="2",BI40,0)</f>
        <v>0</v>
      </c>
      <c r="AH40" s="36">
        <f>IF(AQ40="0",BJ40,0)</f>
        <v>0</v>
      </c>
      <c r="AI40" s="59" t="s">
        <v>70</v>
      </c>
      <c r="AJ40" s="54">
        <f>IF(AN40=0,K40,0)</f>
        <v>0</v>
      </c>
      <c r="AK40" s="54">
        <f>IF(AN40=15,K40,0)</f>
        <v>0</v>
      </c>
      <c r="AL40" s="54">
        <f>IF(AN40=21,K40,0)</f>
        <v>0</v>
      </c>
      <c r="AN40" s="36">
        <v>21</v>
      </c>
      <c r="AO40" s="36">
        <f>H40*0.569645981688708</f>
        <v>0</v>
      </c>
      <c r="AP40" s="36">
        <f>H40*(1-0.569645981688708)</f>
        <v>0</v>
      </c>
      <c r="AQ40" s="60" t="s">
        <v>83</v>
      </c>
      <c r="AV40" s="36">
        <f>AW40+AX40</f>
        <v>0</v>
      </c>
      <c r="AW40" s="36">
        <f>G40*AO40</f>
        <v>0</v>
      </c>
      <c r="AX40" s="36">
        <f>G40*AP40</f>
        <v>0</v>
      </c>
      <c r="AY40" s="62" t="s">
        <v>425</v>
      </c>
      <c r="AZ40" s="62" t="s">
        <v>440</v>
      </c>
      <c r="BA40" s="59" t="s">
        <v>447</v>
      </c>
      <c r="BC40" s="36">
        <f>AW40+AX40</f>
        <v>0</v>
      </c>
      <c r="BD40" s="36">
        <f>H40/(100-BE40)*100</f>
        <v>0</v>
      </c>
      <c r="BE40" s="36">
        <v>0</v>
      </c>
      <c r="BF40" s="36">
        <f>L40</f>
        <v>18.799999999999997</v>
      </c>
      <c r="BH40" s="54">
        <f>G40*AO40</f>
        <v>0</v>
      </c>
      <c r="BI40" s="54">
        <f>G40*AP40</f>
        <v>0</v>
      </c>
      <c r="BJ40" s="54">
        <f>G40*H40</f>
        <v>0</v>
      </c>
    </row>
    <row r="41" spans="1:62" ht="12.75">
      <c r="A41" s="47" t="s">
        <v>116</v>
      </c>
      <c r="B41" s="47" t="s">
        <v>198</v>
      </c>
      <c r="C41" s="176" t="s">
        <v>304</v>
      </c>
      <c r="D41" s="172"/>
      <c r="E41" s="172"/>
      <c r="F41" s="47" t="s">
        <v>399</v>
      </c>
      <c r="G41" s="54">
        <v>3</v>
      </c>
      <c r="H41" s="54">
        <v>0</v>
      </c>
      <c r="I41" s="54">
        <f>G41*AO41</f>
        <v>0</v>
      </c>
      <c r="J41" s="54">
        <f>G41*AP41</f>
        <v>0</v>
      </c>
      <c r="K41" s="54">
        <f>G41*H41</f>
        <v>0</v>
      </c>
      <c r="L41" s="54">
        <f>G41*41</f>
        <v>123</v>
      </c>
      <c r="Z41" s="36">
        <f>IF(AQ41="5",BJ41,0)</f>
        <v>0</v>
      </c>
      <c r="AB41" s="36">
        <f>IF(AQ41="1",BH41,0)</f>
        <v>0</v>
      </c>
      <c r="AC41" s="36">
        <f>IF(AQ41="1",BI41,0)</f>
        <v>0</v>
      </c>
      <c r="AD41" s="36">
        <f>IF(AQ41="7",BH41,0)</f>
        <v>0</v>
      </c>
      <c r="AE41" s="36">
        <f>IF(AQ41="7",BI41,0)</f>
        <v>0</v>
      </c>
      <c r="AF41" s="36">
        <f>IF(AQ41="2",BH41,0)</f>
        <v>0</v>
      </c>
      <c r="AG41" s="36">
        <f>IF(AQ41="2",BI41,0)</f>
        <v>0</v>
      </c>
      <c r="AH41" s="36">
        <f>IF(AQ41="0",BJ41,0)</f>
        <v>0</v>
      </c>
      <c r="AI41" s="59" t="s">
        <v>70</v>
      </c>
      <c r="AJ41" s="54">
        <f>IF(AN41=0,K41,0)</f>
        <v>0</v>
      </c>
      <c r="AK41" s="54">
        <f>IF(AN41=15,K41,0)</f>
        <v>0</v>
      </c>
      <c r="AL41" s="54">
        <f>IF(AN41=21,K41,0)</f>
        <v>0</v>
      </c>
      <c r="AN41" s="36">
        <v>21</v>
      </c>
      <c r="AO41" s="36">
        <f>H41*0.885459610027855</f>
        <v>0</v>
      </c>
      <c r="AP41" s="36">
        <f>H41*(1-0.885459610027855)</f>
        <v>0</v>
      </c>
      <c r="AQ41" s="60" t="s">
        <v>83</v>
      </c>
      <c r="AV41" s="36">
        <f>AW41+AX41</f>
        <v>0</v>
      </c>
      <c r="AW41" s="36">
        <f>G41*AO41</f>
        <v>0</v>
      </c>
      <c r="AX41" s="36">
        <f>G41*AP41</f>
        <v>0</v>
      </c>
      <c r="AY41" s="62" t="s">
        <v>425</v>
      </c>
      <c r="AZ41" s="62" t="s">
        <v>440</v>
      </c>
      <c r="BA41" s="59" t="s">
        <v>447</v>
      </c>
      <c r="BC41" s="36">
        <f>AW41+AX41</f>
        <v>0</v>
      </c>
      <c r="BD41" s="36">
        <f>H41/(100-BE41)*100</f>
        <v>0</v>
      </c>
      <c r="BE41" s="36">
        <v>0</v>
      </c>
      <c r="BF41" s="36">
        <f>L41</f>
        <v>123</v>
      </c>
      <c r="BH41" s="54">
        <f>G41*AO41</f>
        <v>0</v>
      </c>
      <c r="BI41" s="54">
        <f>G41*AP41</f>
        <v>0</v>
      </c>
      <c r="BJ41" s="54">
        <f>G41*H41</f>
        <v>0</v>
      </c>
    </row>
    <row r="42" spans="3:5" ht="12.75">
      <c r="C42" s="185" t="s">
        <v>305</v>
      </c>
      <c r="D42" s="186"/>
      <c r="E42" s="186"/>
    </row>
    <row r="43" spans="1:62" ht="12.75">
      <c r="A43" s="77" t="s">
        <v>117</v>
      </c>
      <c r="B43" s="77" t="s">
        <v>196</v>
      </c>
      <c r="C43" s="174" t="s">
        <v>301</v>
      </c>
      <c r="D43" s="172"/>
      <c r="E43" s="175"/>
      <c r="F43" s="77" t="s">
        <v>398</v>
      </c>
      <c r="G43" s="80">
        <v>0.98</v>
      </c>
      <c r="H43" s="80">
        <v>0</v>
      </c>
      <c r="I43" s="80">
        <f>G43*AO43</f>
        <v>0</v>
      </c>
      <c r="J43" s="80">
        <f>G43*AP43</f>
        <v>0</v>
      </c>
      <c r="K43" s="80">
        <f>G43*H43</f>
        <v>0</v>
      </c>
      <c r="L43" s="79">
        <f>G43*43</f>
        <v>42.14</v>
      </c>
      <c r="Z43" s="36">
        <f>IF(AQ43="5",BJ43,0)</f>
        <v>0</v>
      </c>
      <c r="AB43" s="36">
        <f>IF(AQ43="1",BH43,0)</f>
        <v>0</v>
      </c>
      <c r="AC43" s="36">
        <f>IF(AQ43="1",BI43,0)</f>
        <v>0</v>
      </c>
      <c r="AD43" s="36">
        <f>IF(AQ43="7",BH43,0)</f>
        <v>0</v>
      </c>
      <c r="AE43" s="36">
        <f>IF(AQ43="7",BI43,0)</f>
        <v>0</v>
      </c>
      <c r="AF43" s="36">
        <f>IF(AQ43="2",BH43,0)</f>
        <v>0</v>
      </c>
      <c r="AG43" s="36">
        <f>IF(AQ43="2",BI43,0)</f>
        <v>0</v>
      </c>
      <c r="AH43" s="36">
        <f>IF(AQ43="0",BJ43,0)</f>
        <v>0</v>
      </c>
      <c r="AI43" s="59" t="s">
        <v>70</v>
      </c>
      <c r="AJ43" s="54">
        <f>IF(AN43=0,K43,0)</f>
        <v>0</v>
      </c>
      <c r="AK43" s="54">
        <f>IF(AN43=15,K43,0)</f>
        <v>0</v>
      </c>
      <c r="AL43" s="54">
        <f>IF(AN43=21,K43,0)</f>
        <v>0</v>
      </c>
      <c r="AN43" s="36">
        <v>21</v>
      </c>
      <c r="AO43" s="36">
        <f>H43*0</f>
        <v>0</v>
      </c>
      <c r="AP43" s="36">
        <f>H43*(1-0)</f>
        <v>0</v>
      </c>
      <c r="AQ43" s="60" t="s">
        <v>86</v>
      </c>
      <c r="AV43" s="36">
        <f>AW43+AX43</f>
        <v>0</v>
      </c>
      <c r="AW43" s="36">
        <f>G43*AO43</f>
        <v>0</v>
      </c>
      <c r="AX43" s="36">
        <f>G43*AP43</f>
        <v>0</v>
      </c>
      <c r="AY43" s="62" t="s">
        <v>425</v>
      </c>
      <c r="AZ43" s="62" t="s">
        <v>440</v>
      </c>
      <c r="BA43" s="59" t="s">
        <v>447</v>
      </c>
      <c r="BC43" s="36">
        <f>AW43+AX43</f>
        <v>0</v>
      </c>
      <c r="BD43" s="36">
        <f>H43/(100-BE43)*100</f>
        <v>0</v>
      </c>
      <c r="BE43" s="36">
        <v>0</v>
      </c>
      <c r="BF43" s="36">
        <f>L43</f>
        <v>42.14</v>
      </c>
      <c r="BH43" s="54">
        <f>G43*AO43</f>
        <v>0</v>
      </c>
      <c r="BI43" s="54">
        <f>G43*AP43</f>
        <v>0</v>
      </c>
      <c r="BJ43" s="54">
        <f>G43*H43</f>
        <v>0</v>
      </c>
    </row>
    <row r="44" spans="1:47" ht="12.75">
      <c r="A44" s="46"/>
      <c r="B44" s="52" t="s">
        <v>131</v>
      </c>
      <c r="C44" s="179" t="s">
        <v>306</v>
      </c>
      <c r="D44" s="180"/>
      <c r="E44" s="180"/>
      <c r="F44" s="46" t="s">
        <v>68</v>
      </c>
      <c r="G44" s="46" t="s">
        <v>68</v>
      </c>
      <c r="H44" s="46" t="s">
        <v>68</v>
      </c>
      <c r="I44" s="64">
        <f>SUM(I45:I47)</f>
        <v>0</v>
      </c>
      <c r="J44" s="64">
        <f>SUM(J45:J47)</f>
        <v>0</v>
      </c>
      <c r="K44" s="64">
        <f>SUM(K45:K47)</f>
        <v>0</v>
      </c>
      <c r="L44" s="64">
        <f>SUM(L45:L47)</f>
        <v>5129.02</v>
      </c>
      <c r="AI44" s="59" t="s">
        <v>70</v>
      </c>
      <c r="AS44" s="64">
        <f>SUM(AJ45:AJ47)</f>
        <v>0</v>
      </c>
      <c r="AT44" s="64">
        <f>SUM(AK45:AK47)</f>
        <v>0</v>
      </c>
      <c r="AU44" s="64">
        <f>SUM(AL45:AL47)</f>
        <v>0</v>
      </c>
    </row>
    <row r="45" spans="1:62" ht="12.75">
      <c r="A45" s="47" t="s">
        <v>118</v>
      </c>
      <c r="B45" s="47" t="s">
        <v>199</v>
      </c>
      <c r="C45" s="176" t="s">
        <v>307</v>
      </c>
      <c r="D45" s="172"/>
      <c r="E45" s="172"/>
      <c r="F45" s="47" t="s">
        <v>400</v>
      </c>
      <c r="G45" s="54">
        <v>106.5</v>
      </c>
      <c r="H45" s="54">
        <v>0</v>
      </c>
      <c r="I45" s="54">
        <f>G45*AO45</f>
        <v>0</v>
      </c>
      <c r="J45" s="54">
        <f>G45*AP45</f>
        <v>0</v>
      </c>
      <c r="K45" s="54">
        <f>G45*H45</f>
        <v>0</v>
      </c>
      <c r="L45" s="54">
        <f>G45*45</f>
        <v>4792.5</v>
      </c>
      <c r="Z45" s="36">
        <f>IF(AQ45="5",BJ45,0)</f>
        <v>0</v>
      </c>
      <c r="AB45" s="36">
        <f>IF(AQ45="1",BH45,0)</f>
        <v>0</v>
      </c>
      <c r="AC45" s="36">
        <f>IF(AQ45="1",BI45,0)</f>
        <v>0</v>
      </c>
      <c r="AD45" s="36">
        <f>IF(AQ45="7",BH45,0)</f>
        <v>0</v>
      </c>
      <c r="AE45" s="36">
        <f>IF(AQ45="7",BI45,0)</f>
        <v>0</v>
      </c>
      <c r="AF45" s="36">
        <f>IF(AQ45="2",BH45,0)</f>
        <v>0</v>
      </c>
      <c r="AG45" s="36">
        <f>IF(AQ45="2",BI45,0)</f>
        <v>0</v>
      </c>
      <c r="AH45" s="36">
        <f>IF(AQ45="0",BJ45,0)</f>
        <v>0</v>
      </c>
      <c r="AI45" s="59" t="s">
        <v>70</v>
      </c>
      <c r="AJ45" s="54">
        <f>IF(AN45=0,K45,0)</f>
        <v>0</v>
      </c>
      <c r="AK45" s="54">
        <f>IF(AN45=15,K45,0)</f>
        <v>0</v>
      </c>
      <c r="AL45" s="54">
        <f>IF(AN45=21,K45,0)</f>
        <v>0</v>
      </c>
      <c r="AN45" s="36">
        <v>21</v>
      </c>
      <c r="AO45" s="36">
        <f>H45*0.83170481817454</f>
        <v>0</v>
      </c>
      <c r="AP45" s="36">
        <f>H45*(1-0.83170481817454)</f>
        <v>0</v>
      </c>
      <c r="AQ45" s="60" t="s">
        <v>83</v>
      </c>
      <c r="AV45" s="36">
        <f>AW45+AX45</f>
        <v>0</v>
      </c>
      <c r="AW45" s="36">
        <f>G45*AO45</f>
        <v>0</v>
      </c>
      <c r="AX45" s="36">
        <f>G45*AP45</f>
        <v>0</v>
      </c>
      <c r="AY45" s="62" t="s">
        <v>426</v>
      </c>
      <c r="AZ45" s="62" t="s">
        <v>440</v>
      </c>
      <c r="BA45" s="59" t="s">
        <v>447</v>
      </c>
      <c r="BC45" s="36">
        <f>AW45+AX45</f>
        <v>0</v>
      </c>
      <c r="BD45" s="36">
        <f>H45/(100-BE45)*100</f>
        <v>0</v>
      </c>
      <c r="BE45" s="36">
        <v>0</v>
      </c>
      <c r="BF45" s="36">
        <f>L45</f>
        <v>4792.5</v>
      </c>
      <c r="BH45" s="54">
        <f>G45*AO45</f>
        <v>0</v>
      </c>
      <c r="BI45" s="54">
        <f>G45*AP45</f>
        <v>0</v>
      </c>
      <c r="BJ45" s="54">
        <f>G45*H45</f>
        <v>0</v>
      </c>
    </row>
    <row r="46" spans="3:5" ht="12.75">
      <c r="C46" s="185" t="s">
        <v>308</v>
      </c>
      <c r="D46" s="186"/>
      <c r="E46" s="186"/>
    </row>
    <row r="47" spans="1:62" ht="12.75">
      <c r="A47" s="47" t="s">
        <v>119</v>
      </c>
      <c r="B47" s="47" t="s">
        <v>196</v>
      </c>
      <c r="C47" s="176" t="s">
        <v>301</v>
      </c>
      <c r="D47" s="172"/>
      <c r="E47" s="172"/>
      <c r="F47" s="47" t="s">
        <v>398</v>
      </c>
      <c r="G47" s="54">
        <v>7.16</v>
      </c>
      <c r="H47" s="54">
        <v>0</v>
      </c>
      <c r="I47" s="54">
        <f>G47*AO47</f>
        <v>0</v>
      </c>
      <c r="J47" s="54">
        <f>G47*AP47</f>
        <v>0</v>
      </c>
      <c r="K47" s="54">
        <f>G47*H47</f>
        <v>0</v>
      </c>
      <c r="L47" s="54">
        <f>G47*47</f>
        <v>336.52</v>
      </c>
      <c r="Z47" s="36">
        <f>IF(AQ47="5",BJ47,0)</f>
        <v>0</v>
      </c>
      <c r="AB47" s="36">
        <f>IF(AQ47="1",BH47,0)</f>
        <v>0</v>
      </c>
      <c r="AC47" s="36">
        <f>IF(AQ47="1",BI47,0)</f>
        <v>0</v>
      </c>
      <c r="AD47" s="36">
        <f>IF(AQ47="7",BH47,0)</f>
        <v>0</v>
      </c>
      <c r="AE47" s="36">
        <f>IF(AQ47="7",BI47,0)</f>
        <v>0</v>
      </c>
      <c r="AF47" s="36">
        <f>IF(AQ47="2",BH47,0)</f>
        <v>0</v>
      </c>
      <c r="AG47" s="36">
        <f>IF(AQ47="2",BI47,0)</f>
        <v>0</v>
      </c>
      <c r="AH47" s="36">
        <f>IF(AQ47="0",BJ47,0)</f>
        <v>0</v>
      </c>
      <c r="AI47" s="59" t="s">
        <v>70</v>
      </c>
      <c r="AJ47" s="54">
        <f>IF(AN47=0,K47,0)</f>
        <v>0</v>
      </c>
      <c r="AK47" s="54">
        <f>IF(AN47=15,K47,0)</f>
        <v>0</v>
      </c>
      <c r="AL47" s="54">
        <f>IF(AN47=21,K47,0)</f>
        <v>0</v>
      </c>
      <c r="AN47" s="36">
        <v>21</v>
      </c>
      <c r="AO47" s="36">
        <f>H47*0</f>
        <v>0</v>
      </c>
      <c r="AP47" s="36">
        <f>H47*(1-0)</f>
        <v>0</v>
      </c>
      <c r="AQ47" s="60" t="s">
        <v>86</v>
      </c>
      <c r="AV47" s="36">
        <f>AW47+AX47</f>
        <v>0</v>
      </c>
      <c r="AW47" s="36">
        <f>G47*AO47</f>
        <v>0</v>
      </c>
      <c r="AX47" s="36">
        <f>G47*AP47</f>
        <v>0</v>
      </c>
      <c r="AY47" s="62" t="s">
        <v>426</v>
      </c>
      <c r="AZ47" s="62" t="s">
        <v>440</v>
      </c>
      <c r="BA47" s="59" t="s">
        <v>447</v>
      </c>
      <c r="BC47" s="36">
        <f>AW47+AX47</f>
        <v>0</v>
      </c>
      <c r="BD47" s="36">
        <f>H47/(100-BE47)*100</f>
        <v>0</v>
      </c>
      <c r="BE47" s="36">
        <v>0</v>
      </c>
      <c r="BF47" s="36">
        <f>L47</f>
        <v>336.52</v>
      </c>
      <c r="BH47" s="54">
        <f>G47*AO47</f>
        <v>0</v>
      </c>
      <c r="BI47" s="54">
        <f>G47*AP47</f>
        <v>0</v>
      </c>
      <c r="BJ47" s="54">
        <f>G47*H47</f>
        <v>0</v>
      </c>
    </row>
    <row r="48" spans="1:47" ht="12.75">
      <c r="A48" s="46"/>
      <c r="B48" s="52" t="s">
        <v>153</v>
      </c>
      <c r="C48" s="179" t="s">
        <v>309</v>
      </c>
      <c r="D48" s="180"/>
      <c r="E48" s="180"/>
      <c r="F48" s="46" t="s">
        <v>68</v>
      </c>
      <c r="G48" s="46" t="s">
        <v>68</v>
      </c>
      <c r="H48" s="46" t="s">
        <v>68</v>
      </c>
      <c r="I48" s="64">
        <f>SUM(I49:I52)</f>
        <v>0</v>
      </c>
      <c r="J48" s="64">
        <f>SUM(J49:J52)</f>
        <v>0</v>
      </c>
      <c r="K48" s="64">
        <f>SUM(K49:K52)</f>
        <v>0</v>
      </c>
      <c r="L48" s="64">
        <f>SUM(L49:L52)</f>
        <v>1238.17</v>
      </c>
      <c r="AI48" s="59" t="s">
        <v>70</v>
      </c>
      <c r="AS48" s="64">
        <f>SUM(AJ49:AJ52)</f>
        <v>0</v>
      </c>
      <c r="AT48" s="64">
        <f>SUM(AK49:AK52)</f>
        <v>0</v>
      </c>
      <c r="AU48" s="64">
        <f>SUM(AL49:AL52)</f>
        <v>0</v>
      </c>
    </row>
    <row r="49" spans="1:62" ht="12.75">
      <c r="A49" s="47" t="s">
        <v>120</v>
      </c>
      <c r="B49" s="47" t="s">
        <v>200</v>
      </c>
      <c r="C49" s="176" t="s">
        <v>310</v>
      </c>
      <c r="D49" s="172"/>
      <c r="E49" s="172"/>
      <c r="F49" s="47" t="s">
        <v>396</v>
      </c>
      <c r="G49" s="54">
        <v>13.86</v>
      </c>
      <c r="H49" s="54">
        <v>0</v>
      </c>
      <c r="I49" s="54">
        <f>G49*AO49</f>
        <v>0</v>
      </c>
      <c r="J49" s="54">
        <f>G49*AP49</f>
        <v>0</v>
      </c>
      <c r="K49" s="54">
        <f>G49*H49</f>
        <v>0</v>
      </c>
      <c r="L49" s="54">
        <f>G49*49</f>
        <v>679.14</v>
      </c>
      <c r="Z49" s="36">
        <f>IF(AQ49="5",BJ49,0)</f>
        <v>0</v>
      </c>
      <c r="AB49" s="36">
        <f>IF(AQ49="1",BH49,0)</f>
        <v>0</v>
      </c>
      <c r="AC49" s="36">
        <f>IF(AQ49="1",BI49,0)</f>
        <v>0</v>
      </c>
      <c r="AD49" s="36">
        <f>IF(AQ49="7",BH49,0)</f>
        <v>0</v>
      </c>
      <c r="AE49" s="36">
        <f>IF(AQ49="7",BI49,0)</f>
        <v>0</v>
      </c>
      <c r="AF49" s="36">
        <f>IF(AQ49="2",BH49,0)</f>
        <v>0</v>
      </c>
      <c r="AG49" s="36">
        <f>IF(AQ49="2",BI49,0)</f>
        <v>0</v>
      </c>
      <c r="AH49" s="36">
        <f>IF(AQ49="0",BJ49,0)</f>
        <v>0</v>
      </c>
      <c r="AI49" s="59" t="s">
        <v>70</v>
      </c>
      <c r="AJ49" s="54">
        <f>IF(AN49=0,K49,0)</f>
        <v>0</v>
      </c>
      <c r="AK49" s="54">
        <f>IF(AN49=15,K49,0)</f>
        <v>0</v>
      </c>
      <c r="AL49" s="54">
        <f>IF(AN49=21,K49,0)</f>
        <v>0</v>
      </c>
      <c r="AN49" s="36">
        <v>21</v>
      </c>
      <c r="AO49" s="36">
        <f>H49*0.561950056238104</f>
        <v>0</v>
      </c>
      <c r="AP49" s="36">
        <f>H49*(1-0.561950056238104)</f>
        <v>0</v>
      </c>
      <c r="AQ49" s="60" t="s">
        <v>83</v>
      </c>
      <c r="AV49" s="36">
        <f>AW49+AX49</f>
        <v>0</v>
      </c>
      <c r="AW49" s="36">
        <f>G49*AO49</f>
        <v>0</v>
      </c>
      <c r="AX49" s="36">
        <f>G49*AP49</f>
        <v>0</v>
      </c>
      <c r="AY49" s="62" t="s">
        <v>427</v>
      </c>
      <c r="AZ49" s="62" t="s">
        <v>441</v>
      </c>
      <c r="BA49" s="59" t="s">
        <v>447</v>
      </c>
      <c r="BC49" s="36">
        <f>AW49+AX49</f>
        <v>0</v>
      </c>
      <c r="BD49" s="36">
        <f>H49/(100-BE49)*100</f>
        <v>0</v>
      </c>
      <c r="BE49" s="36">
        <v>0</v>
      </c>
      <c r="BF49" s="36">
        <f>L49</f>
        <v>679.14</v>
      </c>
      <c r="BH49" s="54">
        <f>G49*AO49</f>
        <v>0</v>
      </c>
      <c r="BI49" s="54">
        <f>G49*AP49</f>
        <v>0</v>
      </c>
      <c r="BJ49" s="54">
        <f>G49*H49</f>
        <v>0</v>
      </c>
    </row>
    <row r="50" spans="3:5" ht="12.75">
      <c r="C50" s="185" t="s">
        <v>311</v>
      </c>
      <c r="D50" s="186"/>
      <c r="E50" s="186"/>
    </row>
    <row r="51" spans="1:62" ht="12.75">
      <c r="A51" s="47" t="s">
        <v>121</v>
      </c>
      <c r="B51" s="47" t="s">
        <v>201</v>
      </c>
      <c r="C51" s="176" t="s">
        <v>312</v>
      </c>
      <c r="D51" s="172"/>
      <c r="E51" s="172"/>
      <c r="F51" s="47" t="s">
        <v>400</v>
      </c>
      <c r="G51" s="54">
        <v>4.65</v>
      </c>
      <c r="H51" s="54">
        <v>0</v>
      </c>
      <c r="I51" s="54">
        <f>G51*AO51</f>
        <v>0</v>
      </c>
      <c r="J51" s="54">
        <f>G51*AP51</f>
        <v>0</v>
      </c>
      <c r="K51" s="54">
        <f>G51*H51</f>
        <v>0</v>
      </c>
      <c r="L51" s="54">
        <f>G51*51</f>
        <v>237.15</v>
      </c>
      <c r="Z51" s="36">
        <f>IF(AQ51="5",BJ51,0)</f>
        <v>0</v>
      </c>
      <c r="AB51" s="36">
        <f>IF(AQ51="1",BH51,0)</f>
        <v>0</v>
      </c>
      <c r="AC51" s="36">
        <f>IF(AQ51="1",BI51,0)</f>
        <v>0</v>
      </c>
      <c r="AD51" s="36">
        <f>IF(AQ51="7",BH51,0)</f>
        <v>0</v>
      </c>
      <c r="AE51" s="36">
        <f>IF(AQ51="7",BI51,0)</f>
        <v>0</v>
      </c>
      <c r="AF51" s="36">
        <f>IF(AQ51="2",BH51,0)</f>
        <v>0</v>
      </c>
      <c r="AG51" s="36">
        <f>IF(AQ51="2",BI51,0)</f>
        <v>0</v>
      </c>
      <c r="AH51" s="36">
        <f>IF(AQ51="0",BJ51,0)</f>
        <v>0</v>
      </c>
      <c r="AI51" s="59" t="s">
        <v>70</v>
      </c>
      <c r="AJ51" s="54">
        <f>IF(AN51=0,K51,0)</f>
        <v>0</v>
      </c>
      <c r="AK51" s="54">
        <f>IF(AN51=15,K51,0)</f>
        <v>0</v>
      </c>
      <c r="AL51" s="54">
        <f>IF(AN51=21,K51,0)</f>
        <v>0</v>
      </c>
      <c r="AN51" s="36">
        <v>21</v>
      </c>
      <c r="AO51" s="36">
        <f>H51*0.059775648858693</f>
        <v>0</v>
      </c>
      <c r="AP51" s="36">
        <f>H51*(1-0.059775648858693)</f>
        <v>0</v>
      </c>
      <c r="AQ51" s="60" t="s">
        <v>83</v>
      </c>
      <c r="AV51" s="36">
        <f>AW51+AX51</f>
        <v>0</v>
      </c>
      <c r="AW51" s="36">
        <f>G51*AO51</f>
        <v>0</v>
      </c>
      <c r="AX51" s="36">
        <f>G51*AP51</f>
        <v>0</v>
      </c>
      <c r="AY51" s="62" t="s">
        <v>427</v>
      </c>
      <c r="AZ51" s="62" t="s">
        <v>441</v>
      </c>
      <c r="BA51" s="59" t="s">
        <v>447</v>
      </c>
      <c r="BC51" s="36">
        <f>AW51+AX51</f>
        <v>0</v>
      </c>
      <c r="BD51" s="36">
        <f>H51/(100-BE51)*100</f>
        <v>0</v>
      </c>
      <c r="BE51" s="36">
        <v>0</v>
      </c>
      <c r="BF51" s="36">
        <f>L51</f>
        <v>237.15</v>
      </c>
      <c r="BH51" s="54">
        <f>G51*AO51</f>
        <v>0</v>
      </c>
      <c r="BI51" s="54">
        <f>G51*AP51</f>
        <v>0</v>
      </c>
      <c r="BJ51" s="54">
        <f>G51*H51</f>
        <v>0</v>
      </c>
    </row>
    <row r="52" spans="1:62" ht="12.75">
      <c r="A52" s="77" t="s">
        <v>122</v>
      </c>
      <c r="B52" s="77" t="s">
        <v>202</v>
      </c>
      <c r="C52" s="174" t="s">
        <v>313</v>
      </c>
      <c r="D52" s="172"/>
      <c r="E52" s="175"/>
      <c r="F52" s="77" t="s">
        <v>398</v>
      </c>
      <c r="G52" s="80">
        <v>6.19</v>
      </c>
      <c r="H52" s="80">
        <v>0</v>
      </c>
      <c r="I52" s="80">
        <f>G52*AO52</f>
        <v>0</v>
      </c>
      <c r="J52" s="80">
        <f>G52*AP52</f>
        <v>0</v>
      </c>
      <c r="K52" s="80">
        <f>G52*H52</f>
        <v>0</v>
      </c>
      <c r="L52" s="79">
        <f>G52*52</f>
        <v>321.88</v>
      </c>
      <c r="Z52" s="36">
        <f>IF(AQ52="5",BJ52,0)</f>
        <v>0</v>
      </c>
      <c r="AB52" s="36">
        <f>IF(AQ52="1",BH52,0)</f>
        <v>0</v>
      </c>
      <c r="AC52" s="36">
        <f>IF(AQ52="1",BI52,0)</f>
        <v>0</v>
      </c>
      <c r="AD52" s="36">
        <f>IF(AQ52="7",BH52,0)</f>
        <v>0</v>
      </c>
      <c r="AE52" s="36">
        <f>IF(AQ52="7",BI52,0)</f>
        <v>0</v>
      </c>
      <c r="AF52" s="36">
        <f>IF(AQ52="2",BH52,0)</f>
        <v>0</v>
      </c>
      <c r="AG52" s="36">
        <f>IF(AQ52="2",BI52,0)</f>
        <v>0</v>
      </c>
      <c r="AH52" s="36">
        <f>IF(AQ52="0",BJ52,0)</f>
        <v>0</v>
      </c>
      <c r="AI52" s="59" t="s">
        <v>70</v>
      </c>
      <c r="AJ52" s="54">
        <f>IF(AN52=0,K52,0)</f>
        <v>0</v>
      </c>
      <c r="AK52" s="54">
        <f>IF(AN52=15,K52,0)</f>
        <v>0</v>
      </c>
      <c r="AL52" s="54">
        <f>IF(AN52=21,K52,0)</f>
        <v>0</v>
      </c>
      <c r="AN52" s="36">
        <v>21</v>
      </c>
      <c r="AO52" s="36">
        <f>H52*0</f>
        <v>0</v>
      </c>
      <c r="AP52" s="36">
        <f>H52*(1-0)</f>
        <v>0</v>
      </c>
      <c r="AQ52" s="60" t="s">
        <v>86</v>
      </c>
      <c r="AV52" s="36">
        <f>AW52+AX52</f>
        <v>0</v>
      </c>
      <c r="AW52" s="36">
        <f>G52*AO52</f>
        <v>0</v>
      </c>
      <c r="AX52" s="36">
        <f>G52*AP52</f>
        <v>0</v>
      </c>
      <c r="AY52" s="62" t="s">
        <v>427</v>
      </c>
      <c r="AZ52" s="62" t="s">
        <v>441</v>
      </c>
      <c r="BA52" s="59" t="s">
        <v>447</v>
      </c>
      <c r="BC52" s="36">
        <f>AW52+AX52</f>
        <v>0</v>
      </c>
      <c r="BD52" s="36">
        <f>H52/(100-BE52)*100</f>
        <v>0</v>
      </c>
      <c r="BE52" s="36">
        <v>0</v>
      </c>
      <c r="BF52" s="36">
        <f>L52</f>
        <v>321.88</v>
      </c>
      <c r="BH52" s="54">
        <f>G52*AO52</f>
        <v>0</v>
      </c>
      <c r="BI52" s="54">
        <f>G52*AP52</f>
        <v>0</v>
      </c>
      <c r="BJ52" s="54">
        <f>G52*H52</f>
        <v>0</v>
      </c>
    </row>
    <row r="53" spans="1:47" ht="12.75">
      <c r="A53" s="46"/>
      <c r="B53" s="52" t="s">
        <v>156</v>
      </c>
      <c r="C53" s="179" t="s">
        <v>314</v>
      </c>
      <c r="D53" s="180"/>
      <c r="E53" s="180"/>
      <c r="F53" s="46" t="s">
        <v>68</v>
      </c>
      <c r="G53" s="46" t="s">
        <v>68</v>
      </c>
      <c r="H53" s="46" t="s">
        <v>68</v>
      </c>
      <c r="I53" s="64">
        <f>SUM(I54:I57)</f>
        <v>0</v>
      </c>
      <c r="J53" s="64">
        <f>SUM(J54:J57)</f>
        <v>0</v>
      </c>
      <c r="K53" s="64">
        <f>SUM(K54:K57)</f>
        <v>0</v>
      </c>
      <c r="L53" s="64">
        <f>SUM(L54:L57)</f>
        <v>7370.64</v>
      </c>
      <c r="AI53" s="59" t="s">
        <v>70</v>
      </c>
      <c r="AS53" s="64">
        <f>SUM(AJ54:AJ57)</f>
        <v>0</v>
      </c>
      <c r="AT53" s="64">
        <f>SUM(AK54:AK57)</f>
        <v>0</v>
      </c>
      <c r="AU53" s="64">
        <f>SUM(AL54:AL57)</f>
        <v>0</v>
      </c>
    </row>
    <row r="54" spans="1:62" ht="12.75">
      <c r="A54" s="47" t="s">
        <v>123</v>
      </c>
      <c r="B54" s="47" t="s">
        <v>203</v>
      </c>
      <c r="C54" s="176" t="s">
        <v>315</v>
      </c>
      <c r="D54" s="172"/>
      <c r="E54" s="172"/>
      <c r="F54" s="47" t="s">
        <v>396</v>
      </c>
      <c r="G54" s="54">
        <v>86.44</v>
      </c>
      <c r="H54" s="54">
        <v>0</v>
      </c>
      <c r="I54" s="54">
        <f>G54*AO54</f>
        <v>0</v>
      </c>
      <c r="J54" s="54">
        <f>G54*AP54</f>
        <v>0</v>
      </c>
      <c r="K54" s="54">
        <f>G54*H54</f>
        <v>0</v>
      </c>
      <c r="L54" s="54">
        <f>G54*54</f>
        <v>4667.76</v>
      </c>
      <c r="Z54" s="36">
        <f>IF(AQ54="5",BJ54,0)</f>
        <v>0</v>
      </c>
      <c r="AB54" s="36">
        <f>IF(AQ54="1",BH54,0)</f>
        <v>0</v>
      </c>
      <c r="AC54" s="36">
        <f>IF(AQ54="1",BI54,0)</f>
        <v>0</v>
      </c>
      <c r="AD54" s="36">
        <f>IF(AQ54="7",BH54,0)</f>
        <v>0</v>
      </c>
      <c r="AE54" s="36">
        <f>IF(AQ54="7",BI54,0)</f>
        <v>0</v>
      </c>
      <c r="AF54" s="36">
        <f>IF(AQ54="2",BH54,0)</f>
        <v>0</v>
      </c>
      <c r="AG54" s="36">
        <f>IF(AQ54="2",BI54,0)</f>
        <v>0</v>
      </c>
      <c r="AH54" s="36">
        <f>IF(AQ54="0",BJ54,0)</f>
        <v>0</v>
      </c>
      <c r="AI54" s="59" t="s">
        <v>70</v>
      </c>
      <c r="AJ54" s="54">
        <f>IF(AN54=0,K54,0)</f>
        <v>0</v>
      </c>
      <c r="AK54" s="54">
        <f>IF(AN54=15,K54,0)</f>
        <v>0</v>
      </c>
      <c r="AL54" s="54">
        <f>IF(AN54=21,K54,0)</f>
        <v>0</v>
      </c>
      <c r="AN54" s="36">
        <v>21</v>
      </c>
      <c r="AO54" s="36">
        <f>H54*0.432788353965392</f>
        <v>0</v>
      </c>
      <c r="AP54" s="36">
        <f>H54*(1-0.432788353965392)</f>
        <v>0</v>
      </c>
      <c r="AQ54" s="60" t="s">
        <v>83</v>
      </c>
      <c r="AV54" s="36">
        <f>AW54+AX54</f>
        <v>0</v>
      </c>
      <c r="AW54" s="36">
        <f>G54*AO54</f>
        <v>0</v>
      </c>
      <c r="AX54" s="36">
        <f>G54*AP54</f>
        <v>0</v>
      </c>
      <c r="AY54" s="62" t="s">
        <v>428</v>
      </c>
      <c r="AZ54" s="62" t="s">
        <v>441</v>
      </c>
      <c r="BA54" s="59" t="s">
        <v>447</v>
      </c>
      <c r="BC54" s="36">
        <f>AW54+AX54</f>
        <v>0</v>
      </c>
      <c r="BD54" s="36">
        <f>H54/(100-BE54)*100</f>
        <v>0</v>
      </c>
      <c r="BE54" s="36">
        <v>0</v>
      </c>
      <c r="BF54" s="36">
        <f>L54</f>
        <v>4667.76</v>
      </c>
      <c r="BH54" s="54">
        <f>G54*AO54</f>
        <v>0</v>
      </c>
      <c r="BI54" s="54">
        <f>G54*AP54</f>
        <v>0</v>
      </c>
      <c r="BJ54" s="54">
        <f>G54*H54</f>
        <v>0</v>
      </c>
    </row>
    <row r="55" spans="1:62" ht="12.75">
      <c r="A55" s="82" t="s">
        <v>124</v>
      </c>
      <c r="B55" s="82" t="s">
        <v>204</v>
      </c>
      <c r="C55" s="171" t="s">
        <v>316</v>
      </c>
      <c r="D55" s="172"/>
      <c r="E55" s="173"/>
      <c r="F55" s="82" t="s">
        <v>400</v>
      </c>
      <c r="G55" s="83">
        <v>13.6</v>
      </c>
      <c r="H55" s="83">
        <v>0</v>
      </c>
      <c r="I55" s="83">
        <f>G55*AO55</f>
        <v>0</v>
      </c>
      <c r="J55" s="83">
        <f>G55*AP55</f>
        <v>0</v>
      </c>
      <c r="K55" s="83">
        <f>G55*H55</f>
        <v>0</v>
      </c>
      <c r="L55" s="78">
        <f>G55*55</f>
        <v>748</v>
      </c>
      <c r="Z55" s="36">
        <f>IF(AQ55="5",BJ55,0)</f>
        <v>0</v>
      </c>
      <c r="AB55" s="36">
        <f>IF(AQ55="1",BH55,0)</f>
        <v>0</v>
      </c>
      <c r="AC55" s="36">
        <f>IF(AQ55="1",BI55,0)</f>
        <v>0</v>
      </c>
      <c r="AD55" s="36">
        <f>IF(AQ55="7",BH55,0)</f>
        <v>0</v>
      </c>
      <c r="AE55" s="36">
        <f>IF(AQ55="7",BI55,0)</f>
        <v>0</v>
      </c>
      <c r="AF55" s="36">
        <f>IF(AQ55="2",BH55,0)</f>
        <v>0</v>
      </c>
      <c r="AG55" s="36">
        <f>IF(AQ55="2",BI55,0)</f>
        <v>0</v>
      </c>
      <c r="AH55" s="36">
        <f>IF(AQ55="0",BJ55,0)</f>
        <v>0</v>
      </c>
      <c r="AI55" s="59" t="s">
        <v>70</v>
      </c>
      <c r="AJ55" s="54">
        <f>IF(AN55=0,K55,0)</f>
        <v>0</v>
      </c>
      <c r="AK55" s="54">
        <f>IF(AN55=15,K55,0)</f>
        <v>0</v>
      </c>
      <c r="AL55" s="54">
        <f>IF(AN55=21,K55,0)</f>
        <v>0</v>
      </c>
      <c r="AN55" s="36">
        <v>21</v>
      </c>
      <c r="AO55" s="36">
        <f>H55*0.0729441624365482</f>
        <v>0</v>
      </c>
      <c r="AP55" s="36">
        <f>H55*(1-0.0729441624365482)</f>
        <v>0</v>
      </c>
      <c r="AQ55" s="60" t="s">
        <v>83</v>
      </c>
      <c r="AV55" s="36">
        <f>AW55+AX55</f>
        <v>0</v>
      </c>
      <c r="AW55" s="36">
        <f>G55*AO55</f>
        <v>0</v>
      </c>
      <c r="AX55" s="36">
        <f>G55*AP55</f>
        <v>0</v>
      </c>
      <c r="AY55" s="62" t="s">
        <v>428</v>
      </c>
      <c r="AZ55" s="62" t="s">
        <v>441</v>
      </c>
      <c r="BA55" s="59" t="s">
        <v>447</v>
      </c>
      <c r="BC55" s="36">
        <f>AW55+AX55</f>
        <v>0</v>
      </c>
      <c r="BD55" s="36">
        <f>H55/(100-BE55)*100</f>
        <v>0</v>
      </c>
      <c r="BE55" s="36">
        <v>0</v>
      </c>
      <c r="BF55" s="36">
        <f>L55</f>
        <v>748</v>
      </c>
      <c r="BH55" s="54">
        <f>G55*AO55</f>
        <v>0</v>
      </c>
      <c r="BI55" s="54">
        <f>G55*AP55</f>
        <v>0</v>
      </c>
      <c r="BJ55" s="54">
        <f>G55*H55</f>
        <v>0</v>
      </c>
    </row>
    <row r="56" spans="1:62" ht="12.75">
      <c r="A56" s="77" t="s">
        <v>125</v>
      </c>
      <c r="B56" s="77" t="s">
        <v>205</v>
      </c>
      <c r="C56" s="174" t="s">
        <v>317</v>
      </c>
      <c r="D56" s="172"/>
      <c r="E56" s="175"/>
      <c r="F56" s="77" t="s">
        <v>398</v>
      </c>
      <c r="G56" s="80">
        <v>24.73</v>
      </c>
      <c r="H56" s="80">
        <v>0</v>
      </c>
      <c r="I56" s="80">
        <f>G56*AO56</f>
        <v>0</v>
      </c>
      <c r="J56" s="80">
        <f>G56*AP56</f>
        <v>0</v>
      </c>
      <c r="K56" s="80">
        <f>G56*H56</f>
        <v>0</v>
      </c>
      <c r="L56" s="79">
        <f>G56*56</f>
        <v>1384.88</v>
      </c>
      <c r="Z56" s="36">
        <f>IF(AQ56="5",BJ56,0)</f>
        <v>0</v>
      </c>
      <c r="AB56" s="36">
        <f>IF(AQ56="1",BH56,0)</f>
        <v>0</v>
      </c>
      <c r="AC56" s="36">
        <f>IF(AQ56="1",BI56,0)</f>
        <v>0</v>
      </c>
      <c r="AD56" s="36">
        <f>IF(AQ56="7",BH56,0)</f>
        <v>0</v>
      </c>
      <c r="AE56" s="36">
        <f>IF(AQ56="7",BI56,0)</f>
        <v>0</v>
      </c>
      <c r="AF56" s="36">
        <f>IF(AQ56="2",BH56,0)</f>
        <v>0</v>
      </c>
      <c r="AG56" s="36">
        <f>IF(AQ56="2",BI56,0)</f>
        <v>0</v>
      </c>
      <c r="AH56" s="36">
        <f>IF(AQ56="0",BJ56,0)</f>
        <v>0</v>
      </c>
      <c r="AI56" s="59" t="s">
        <v>70</v>
      </c>
      <c r="AJ56" s="54">
        <f>IF(AN56=0,K56,0)</f>
        <v>0</v>
      </c>
      <c r="AK56" s="54">
        <f>IF(AN56=15,K56,0)</f>
        <v>0</v>
      </c>
      <c r="AL56" s="54">
        <f>IF(AN56=21,K56,0)</f>
        <v>0</v>
      </c>
      <c r="AN56" s="36">
        <v>21</v>
      </c>
      <c r="AO56" s="36">
        <f>H56*0</f>
        <v>0</v>
      </c>
      <c r="AP56" s="36">
        <f>H56*(1-0)</f>
        <v>0</v>
      </c>
      <c r="AQ56" s="60" t="s">
        <v>86</v>
      </c>
      <c r="AV56" s="36">
        <f>AW56+AX56</f>
        <v>0</v>
      </c>
      <c r="AW56" s="36">
        <f>G56*AO56</f>
        <v>0</v>
      </c>
      <c r="AX56" s="36">
        <f>G56*AP56</f>
        <v>0</v>
      </c>
      <c r="AY56" s="62" t="s">
        <v>428</v>
      </c>
      <c r="AZ56" s="62" t="s">
        <v>441</v>
      </c>
      <c r="BA56" s="59" t="s">
        <v>447</v>
      </c>
      <c r="BC56" s="36">
        <f>AW56+AX56</f>
        <v>0</v>
      </c>
      <c r="BD56" s="36">
        <f>H56/(100-BE56)*100</f>
        <v>0</v>
      </c>
      <c r="BE56" s="36">
        <v>0</v>
      </c>
      <c r="BF56" s="36">
        <f>L56</f>
        <v>1384.88</v>
      </c>
      <c r="BH56" s="54">
        <f>G56*AO56</f>
        <v>0</v>
      </c>
      <c r="BI56" s="54">
        <f>G56*AP56</f>
        <v>0</v>
      </c>
      <c r="BJ56" s="54">
        <f>G56*H56</f>
        <v>0</v>
      </c>
    </row>
    <row r="57" spans="1:62" ht="12.75">
      <c r="A57" s="47" t="s">
        <v>126</v>
      </c>
      <c r="B57" s="47" t="s">
        <v>206</v>
      </c>
      <c r="C57" s="176" t="s">
        <v>318</v>
      </c>
      <c r="D57" s="172"/>
      <c r="E57" s="172"/>
      <c r="F57" s="47" t="s">
        <v>396</v>
      </c>
      <c r="G57" s="54">
        <v>10</v>
      </c>
      <c r="H57" s="54">
        <v>0</v>
      </c>
      <c r="I57" s="54">
        <f>G57*AO57</f>
        <v>0</v>
      </c>
      <c r="J57" s="54">
        <f>G57*AP57</f>
        <v>0</v>
      </c>
      <c r="K57" s="54">
        <f>G57*H57</f>
        <v>0</v>
      </c>
      <c r="L57" s="54">
        <f>G57*57</f>
        <v>570</v>
      </c>
      <c r="Z57" s="36">
        <f>IF(AQ57="5",BJ57,0)</f>
        <v>0</v>
      </c>
      <c r="AB57" s="36">
        <f>IF(AQ57="1",BH57,0)</f>
        <v>0</v>
      </c>
      <c r="AC57" s="36">
        <f>IF(AQ57="1",BI57,0)</f>
        <v>0</v>
      </c>
      <c r="AD57" s="36">
        <f>IF(AQ57="7",BH57,0)</f>
        <v>0</v>
      </c>
      <c r="AE57" s="36">
        <f>IF(AQ57="7",BI57,0)</f>
        <v>0</v>
      </c>
      <c r="AF57" s="36">
        <f>IF(AQ57="2",BH57,0)</f>
        <v>0</v>
      </c>
      <c r="AG57" s="36">
        <f>IF(AQ57="2",BI57,0)</f>
        <v>0</v>
      </c>
      <c r="AH57" s="36">
        <f>IF(AQ57="0",BJ57,0)</f>
        <v>0</v>
      </c>
      <c r="AI57" s="59" t="s">
        <v>70</v>
      </c>
      <c r="AJ57" s="54">
        <f>IF(AN57=0,K57,0)</f>
        <v>0</v>
      </c>
      <c r="AK57" s="54">
        <f>IF(AN57=15,K57,0)</f>
        <v>0</v>
      </c>
      <c r="AL57" s="54">
        <f>IF(AN57=21,K57,0)</f>
        <v>0</v>
      </c>
      <c r="AN57" s="36">
        <v>21</v>
      </c>
      <c r="AO57" s="36">
        <f>H57*0.134459833795014</f>
        <v>0</v>
      </c>
      <c r="AP57" s="36">
        <f>H57*(1-0.134459833795014)</f>
        <v>0</v>
      </c>
      <c r="AQ57" s="60" t="s">
        <v>83</v>
      </c>
      <c r="AV57" s="36">
        <f>AW57+AX57</f>
        <v>0</v>
      </c>
      <c r="AW57" s="36">
        <f>G57*AO57</f>
        <v>0</v>
      </c>
      <c r="AX57" s="36">
        <f>G57*AP57</f>
        <v>0</v>
      </c>
      <c r="AY57" s="62" t="s">
        <v>428</v>
      </c>
      <c r="AZ57" s="62" t="s">
        <v>441</v>
      </c>
      <c r="BA57" s="59" t="s">
        <v>447</v>
      </c>
      <c r="BC57" s="36">
        <f>AW57+AX57</f>
        <v>0</v>
      </c>
      <c r="BD57" s="36">
        <f>H57/(100-BE57)*100</f>
        <v>0</v>
      </c>
      <c r="BE57" s="36">
        <v>0</v>
      </c>
      <c r="BF57" s="36">
        <f>L57</f>
        <v>570</v>
      </c>
      <c r="BH57" s="54">
        <f>G57*AO57</f>
        <v>0</v>
      </c>
      <c r="BI57" s="54">
        <f>G57*AP57</f>
        <v>0</v>
      </c>
      <c r="BJ57" s="54">
        <f>G57*H57</f>
        <v>0</v>
      </c>
    </row>
    <row r="58" spans="3:5" ht="12.75">
      <c r="C58" s="185" t="s">
        <v>319</v>
      </c>
      <c r="D58" s="186"/>
      <c r="E58" s="186"/>
    </row>
    <row r="59" spans="1:47" ht="12.75">
      <c r="A59" s="46"/>
      <c r="B59" s="52" t="s">
        <v>159</v>
      </c>
      <c r="C59" s="179" t="s">
        <v>320</v>
      </c>
      <c r="D59" s="180"/>
      <c r="E59" s="180"/>
      <c r="F59" s="46" t="s">
        <v>68</v>
      </c>
      <c r="G59" s="46" t="s">
        <v>68</v>
      </c>
      <c r="H59" s="46" t="s">
        <v>68</v>
      </c>
      <c r="I59" s="64">
        <f>SUM(I60:I69)</f>
        <v>0</v>
      </c>
      <c r="J59" s="64">
        <f>SUM(J60:J69)</f>
        <v>0</v>
      </c>
      <c r="K59" s="64">
        <f>SUM(K60:K69)</f>
        <v>0</v>
      </c>
      <c r="L59" s="64">
        <f>SUM(L60:L69)</f>
        <v>39811.37</v>
      </c>
      <c r="AI59" s="59" t="s">
        <v>70</v>
      </c>
      <c r="AS59" s="64">
        <f>SUM(AJ60:AJ69)</f>
        <v>0</v>
      </c>
      <c r="AT59" s="64">
        <f>SUM(AK60:AK69)</f>
        <v>0</v>
      </c>
      <c r="AU59" s="64">
        <f>SUM(AL60:AL69)</f>
        <v>0</v>
      </c>
    </row>
    <row r="60" spans="1:62" ht="12.75">
      <c r="A60" s="47" t="s">
        <v>127</v>
      </c>
      <c r="B60" s="47" t="s">
        <v>207</v>
      </c>
      <c r="C60" s="176" t="s">
        <v>321</v>
      </c>
      <c r="D60" s="172"/>
      <c r="E60" s="172"/>
      <c r="F60" s="47" t="s">
        <v>396</v>
      </c>
      <c r="G60" s="54">
        <v>150.01</v>
      </c>
      <c r="H60" s="54">
        <v>0</v>
      </c>
      <c r="I60" s="54">
        <f>G60*AO60</f>
        <v>0</v>
      </c>
      <c r="J60" s="54">
        <f>G60*AP60</f>
        <v>0</v>
      </c>
      <c r="K60" s="54">
        <f>G60*H60</f>
        <v>0</v>
      </c>
      <c r="L60" s="54">
        <f>G60*60</f>
        <v>9000.599999999999</v>
      </c>
      <c r="Z60" s="36">
        <f>IF(AQ60="5",BJ60,0)</f>
        <v>0</v>
      </c>
      <c r="AB60" s="36">
        <f>IF(AQ60="1",BH60,0)</f>
        <v>0</v>
      </c>
      <c r="AC60" s="36">
        <f>IF(AQ60="1",BI60,0)</f>
        <v>0</v>
      </c>
      <c r="AD60" s="36">
        <f>IF(AQ60="7",BH60,0)</f>
        <v>0</v>
      </c>
      <c r="AE60" s="36">
        <f>IF(AQ60="7",BI60,0)</f>
        <v>0</v>
      </c>
      <c r="AF60" s="36">
        <f>IF(AQ60="2",BH60,0)</f>
        <v>0</v>
      </c>
      <c r="AG60" s="36">
        <f>IF(AQ60="2",BI60,0)</f>
        <v>0</v>
      </c>
      <c r="AH60" s="36">
        <f>IF(AQ60="0",BJ60,0)</f>
        <v>0</v>
      </c>
      <c r="AI60" s="59" t="s">
        <v>70</v>
      </c>
      <c r="AJ60" s="54">
        <f>IF(AN60=0,K60,0)</f>
        <v>0</v>
      </c>
      <c r="AK60" s="54">
        <f>IF(AN60=15,K60,0)</f>
        <v>0</v>
      </c>
      <c r="AL60" s="54">
        <f>IF(AN60=21,K60,0)</f>
        <v>0</v>
      </c>
      <c r="AN60" s="36">
        <v>21</v>
      </c>
      <c r="AO60" s="36">
        <f>H60*0.266116504854369</f>
        <v>0</v>
      </c>
      <c r="AP60" s="36">
        <f>H60*(1-0.266116504854369)</f>
        <v>0</v>
      </c>
      <c r="AQ60" s="60" t="s">
        <v>83</v>
      </c>
      <c r="AV60" s="36">
        <f>AW60+AX60</f>
        <v>0</v>
      </c>
      <c r="AW60" s="36">
        <f>G60*AO60</f>
        <v>0</v>
      </c>
      <c r="AX60" s="36">
        <f>G60*AP60</f>
        <v>0</v>
      </c>
      <c r="AY60" s="62" t="s">
        <v>429</v>
      </c>
      <c r="AZ60" s="62" t="s">
        <v>442</v>
      </c>
      <c r="BA60" s="59" t="s">
        <v>447</v>
      </c>
      <c r="BC60" s="36">
        <f>AW60+AX60</f>
        <v>0</v>
      </c>
      <c r="BD60" s="36">
        <f>H60/(100-BE60)*100</f>
        <v>0</v>
      </c>
      <c r="BE60" s="36">
        <v>0</v>
      </c>
      <c r="BF60" s="36">
        <f>L60</f>
        <v>9000.599999999999</v>
      </c>
      <c r="BH60" s="54">
        <f>G60*AO60</f>
        <v>0</v>
      </c>
      <c r="BI60" s="54">
        <f>G60*AP60</f>
        <v>0</v>
      </c>
      <c r="BJ60" s="54">
        <f>G60*H60</f>
        <v>0</v>
      </c>
    </row>
    <row r="61" spans="3:5" ht="12.75">
      <c r="C61" s="185" t="s">
        <v>322</v>
      </c>
      <c r="D61" s="186"/>
      <c r="E61" s="186"/>
    </row>
    <row r="62" spans="1:62" ht="12.75">
      <c r="A62" s="47" t="s">
        <v>128</v>
      </c>
      <c r="B62" s="47" t="s">
        <v>208</v>
      </c>
      <c r="C62" s="176" t="s">
        <v>323</v>
      </c>
      <c r="D62" s="172"/>
      <c r="E62" s="172"/>
      <c r="F62" s="47" t="s">
        <v>396</v>
      </c>
      <c r="G62" s="54">
        <v>150.01</v>
      </c>
      <c r="H62" s="54">
        <v>0</v>
      </c>
      <c r="I62" s="54">
        <f>G62*AO62</f>
        <v>0</v>
      </c>
      <c r="J62" s="54">
        <f>G62*AP62</f>
        <v>0</v>
      </c>
      <c r="K62" s="54">
        <f>G62*H62</f>
        <v>0</v>
      </c>
      <c r="L62" s="54">
        <f>G62*62</f>
        <v>9300.619999999999</v>
      </c>
      <c r="Z62" s="36">
        <f>IF(AQ62="5",BJ62,0)</f>
        <v>0</v>
      </c>
      <c r="AB62" s="36">
        <f>IF(AQ62="1",BH62,0)</f>
        <v>0</v>
      </c>
      <c r="AC62" s="36">
        <f>IF(AQ62="1",BI62,0)</f>
        <v>0</v>
      </c>
      <c r="AD62" s="36">
        <f>IF(AQ62="7",BH62,0)</f>
        <v>0</v>
      </c>
      <c r="AE62" s="36">
        <f>IF(AQ62="7",BI62,0)</f>
        <v>0</v>
      </c>
      <c r="AF62" s="36">
        <f>IF(AQ62="2",BH62,0)</f>
        <v>0</v>
      </c>
      <c r="AG62" s="36">
        <f>IF(AQ62="2",BI62,0)</f>
        <v>0</v>
      </c>
      <c r="AH62" s="36">
        <f>IF(AQ62="0",BJ62,0)</f>
        <v>0</v>
      </c>
      <c r="AI62" s="59" t="s">
        <v>70</v>
      </c>
      <c r="AJ62" s="54">
        <f>IF(AN62=0,K62,0)</f>
        <v>0</v>
      </c>
      <c r="AK62" s="54">
        <f>IF(AN62=15,K62,0)</f>
        <v>0</v>
      </c>
      <c r="AL62" s="54">
        <f>IF(AN62=21,K62,0)</f>
        <v>0</v>
      </c>
      <c r="AN62" s="36">
        <v>21</v>
      </c>
      <c r="AO62" s="36">
        <f>H62*0.504568971436799</f>
        <v>0</v>
      </c>
      <c r="AP62" s="36">
        <f>H62*(1-0.504568971436799)</f>
        <v>0</v>
      </c>
      <c r="AQ62" s="60" t="s">
        <v>83</v>
      </c>
      <c r="AV62" s="36">
        <f>AW62+AX62</f>
        <v>0</v>
      </c>
      <c r="AW62" s="36">
        <f>G62*AO62</f>
        <v>0</v>
      </c>
      <c r="AX62" s="36">
        <f>G62*AP62</f>
        <v>0</v>
      </c>
      <c r="AY62" s="62" t="s">
        <v>429</v>
      </c>
      <c r="AZ62" s="62" t="s">
        <v>442</v>
      </c>
      <c r="BA62" s="59" t="s">
        <v>447</v>
      </c>
      <c r="BC62" s="36">
        <f>AW62+AX62</f>
        <v>0</v>
      </c>
      <c r="BD62" s="36">
        <f>H62/(100-BE62)*100</f>
        <v>0</v>
      </c>
      <c r="BE62" s="36">
        <v>0</v>
      </c>
      <c r="BF62" s="36">
        <f>L62</f>
        <v>9300.619999999999</v>
      </c>
      <c r="BH62" s="54">
        <f>G62*AO62</f>
        <v>0</v>
      </c>
      <c r="BI62" s="54">
        <f>G62*AP62</f>
        <v>0</v>
      </c>
      <c r="BJ62" s="54">
        <f>G62*H62</f>
        <v>0</v>
      </c>
    </row>
    <row r="63" spans="1:62" ht="12.75">
      <c r="A63" s="47" t="s">
        <v>129</v>
      </c>
      <c r="B63" s="47" t="s">
        <v>209</v>
      </c>
      <c r="C63" s="176" t="s">
        <v>324</v>
      </c>
      <c r="D63" s="172"/>
      <c r="E63" s="172"/>
      <c r="F63" s="47" t="s">
        <v>396</v>
      </c>
      <c r="G63" s="54">
        <v>4.97</v>
      </c>
      <c r="H63" s="54">
        <v>0</v>
      </c>
      <c r="I63" s="54">
        <f>G63*AO63</f>
        <v>0</v>
      </c>
      <c r="J63" s="54">
        <f>G63*AP63</f>
        <v>0</v>
      </c>
      <c r="K63" s="54">
        <f>G63*H63</f>
        <v>0</v>
      </c>
      <c r="L63" s="54">
        <f>G63*63</f>
        <v>313.10999999999996</v>
      </c>
      <c r="Z63" s="36">
        <f>IF(AQ63="5",BJ63,0)</f>
        <v>0</v>
      </c>
      <c r="AB63" s="36">
        <f>IF(AQ63="1",BH63,0)</f>
        <v>0</v>
      </c>
      <c r="AC63" s="36">
        <f>IF(AQ63="1",BI63,0)</f>
        <v>0</v>
      </c>
      <c r="AD63" s="36">
        <f>IF(AQ63="7",BH63,0)</f>
        <v>0</v>
      </c>
      <c r="AE63" s="36">
        <f>IF(AQ63="7",BI63,0)</f>
        <v>0</v>
      </c>
      <c r="AF63" s="36">
        <f>IF(AQ63="2",BH63,0)</f>
        <v>0</v>
      </c>
      <c r="AG63" s="36">
        <f>IF(AQ63="2",BI63,0)</f>
        <v>0</v>
      </c>
      <c r="AH63" s="36">
        <f>IF(AQ63="0",BJ63,0)</f>
        <v>0</v>
      </c>
      <c r="AI63" s="59" t="s">
        <v>70</v>
      </c>
      <c r="AJ63" s="54">
        <f>IF(AN63=0,K63,0)</f>
        <v>0</v>
      </c>
      <c r="AK63" s="54">
        <f>IF(AN63=15,K63,0)</f>
        <v>0</v>
      </c>
      <c r="AL63" s="54">
        <f>IF(AN63=21,K63,0)</f>
        <v>0</v>
      </c>
      <c r="AN63" s="36">
        <v>21</v>
      </c>
      <c r="AO63" s="36">
        <f>H63*0.131803652968037</f>
        <v>0</v>
      </c>
      <c r="AP63" s="36">
        <f>H63*(1-0.131803652968037)</f>
        <v>0</v>
      </c>
      <c r="AQ63" s="60" t="s">
        <v>83</v>
      </c>
      <c r="AV63" s="36">
        <f>AW63+AX63</f>
        <v>0</v>
      </c>
      <c r="AW63" s="36">
        <f>G63*AO63</f>
        <v>0</v>
      </c>
      <c r="AX63" s="36">
        <f>G63*AP63</f>
        <v>0</v>
      </c>
      <c r="AY63" s="62" t="s">
        <v>429</v>
      </c>
      <c r="AZ63" s="62" t="s">
        <v>442</v>
      </c>
      <c r="BA63" s="59" t="s">
        <v>447</v>
      </c>
      <c r="BC63" s="36">
        <f>AW63+AX63</f>
        <v>0</v>
      </c>
      <c r="BD63" s="36">
        <f>H63/(100-BE63)*100</f>
        <v>0</v>
      </c>
      <c r="BE63" s="36">
        <v>0</v>
      </c>
      <c r="BF63" s="36">
        <f>L63</f>
        <v>313.10999999999996</v>
      </c>
      <c r="BH63" s="54">
        <f>G63*AO63</f>
        <v>0</v>
      </c>
      <c r="BI63" s="54">
        <f>G63*AP63</f>
        <v>0</v>
      </c>
      <c r="BJ63" s="54">
        <f>G63*H63</f>
        <v>0</v>
      </c>
    </row>
    <row r="64" spans="3:5" ht="12.75">
      <c r="C64" s="185" t="s">
        <v>325</v>
      </c>
      <c r="D64" s="186"/>
      <c r="E64" s="186"/>
    </row>
    <row r="65" spans="1:62" ht="12.75">
      <c r="A65" s="47" t="s">
        <v>130</v>
      </c>
      <c r="B65" s="47" t="s">
        <v>210</v>
      </c>
      <c r="C65" s="176" t="s">
        <v>326</v>
      </c>
      <c r="D65" s="172"/>
      <c r="E65" s="172"/>
      <c r="F65" s="47" t="s">
        <v>396</v>
      </c>
      <c r="G65" s="54">
        <v>154.98</v>
      </c>
      <c r="H65" s="54">
        <v>0</v>
      </c>
      <c r="I65" s="54">
        <f>G65*AO65</f>
        <v>0</v>
      </c>
      <c r="J65" s="54">
        <f>G65*AP65</f>
        <v>0</v>
      </c>
      <c r="K65" s="54">
        <f>G65*H65</f>
        <v>0</v>
      </c>
      <c r="L65" s="54">
        <f>G65*65</f>
        <v>10073.699999999999</v>
      </c>
      <c r="Z65" s="36">
        <f>IF(AQ65="5",BJ65,0)</f>
        <v>0</v>
      </c>
      <c r="AB65" s="36">
        <f>IF(AQ65="1",BH65,0)</f>
        <v>0</v>
      </c>
      <c r="AC65" s="36">
        <f>IF(AQ65="1",BI65,0)</f>
        <v>0</v>
      </c>
      <c r="AD65" s="36">
        <f>IF(AQ65="7",BH65,0)</f>
        <v>0</v>
      </c>
      <c r="AE65" s="36">
        <f>IF(AQ65="7",BI65,0)</f>
        <v>0</v>
      </c>
      <c r="AF65" s="36">
        <f>IF(AQ65="2",BH65,0)</f>
        <v>0</v>
      </c>
      <c r="AG65" s="36">
        <f>IF(AQ65="2",BI65,0)</f>
        <v>0</v>
      </c>
      <c r="AH65" s="36">
        <f>IF(AQ65="0",BJ65,0)</f>
        <v>0</v>
      </c>
      <c r="AI65" s="59" t="s">
        <v>70</v>
      </c>
      <c r="AJ65" s="54">
        <f>IF(AN65=0,K65,0)</f>
        <v>0</v>
      </c>
      <c r="AK65" s="54">
        <f>IF(AN65=15,K65,0)</f>
        <v>0</v>
      </c>
      <c r="AL65" s="54">
        <f>IF(AN65=21,K65,0)</f>
        <v>0</v>
      </c>
      <c r="AN65" s="36">
        <v>21</v>
      </c>
      <c r="AO65" s="36">
        <f>H65*0.204709051933709</f>
        <v>0</v>
      </c>
      <c r="AP65" s="36">
        <f>H65*(1-0.204709051933709)</f>
        <v>0</v>
      </c>
      <c r="AQ65" s="60" t="s">
        <v>83</v>
      </c>
      <c r="AV65" s="36">
        <f>AW65+AX65</f>
        <v>0</v>
      </c>
      <c r="AW65" s="36">
        <f>G65*AO65</f>
        <v>0</v>
      </c>
      <c r="AX65" s="36">
        <f>G65*AP65</f>
        <v>0</v>
      </c>
      <c r="AY65" s="62" t="s">
        <v>429</v>
      </c>
      <c r="AZ65" s="62" t="s">
        <v>442</v>
      </c>
      <c r="BA65" s="59" t="s">
        <v>447</v>
      </c>
      <c r="BC65" s="36">
        <f>AW65+AX65</f>
        <v>0</v>
      </c>
      <c r="BD65" s="36">
        <f>H65/(100-BE65)*100</f>
        <v>0</v>
      </c>
      <c r="BE65" s="36">
        <v>0</v>
      </c>
      <c r="BF65" s="36">
        <f>L65</f>
        <v>10073.699999999999</v>
      </c>
      <c r="BH65" s="54">
        <f>G65*AO65</f>
        <v>0</v>
      </c>
      <c r="BI65" s="54">
        <f>G65*AP65</f>
        <v>0</v>
      </c>
      <c r="BJ65" s="54">
        <f>G65*H65</f>
        <v>0</v>
      </c>
    </row>
    <row r="66" spans="3:5" ht="12.75">
      <c r="C66" s="185" t="s">
        <v>327</v>
      </c>
      <c r="D66" s="186"/>
      <c r="E66" s="186"/>
    </row>
    <row r="67" spans="1:62" ht="12.75">
      <c r="A67" s="47" t="s">
        <v>131</v>
      </c>
      <c r="B67" s="47" t="s">
        <v>211</v>
      </c>
      <c r="C67" s="176" t="s">
        <v>328</v>
      </c>
      <c r="D67" s="172"/>
      <c r="E67" s="172"/>
      <c r="F67" s="47" t="s">
        <v>396</v>
      </c>
      <c r="G67" s="54">
        <v>154.98</v>
      </c>
      <c r="H67" s="54">
        <v>0</v>
      </c>
      <c r="I67" s="54">
        <f>G67*AO67</f>
        <v>0</v>
      </c>
      <c r="J67" s="54">
        <f>G67*AP67</f>
        <v>0</v>
      </c>
      <c r="K67" s="54">
        <f>G67*H67</f>
        <v>0</v>
      </c>
      <c r="L67" s="54">
        <f>G67*67</f>
        <v>10383.66</v>
      </c>
      <c r="Z67" s="36">
        <f>IF(AQ67="5",BJ67,0)</f>
        <v>0</v>
      </c>
      <c r="AB67" s="36">
        <f>IF(AQ67="1",BH67,0)</f>
        <v>0</v>
      </c>
      <c r="AC67" s="36">
        <f>IF(AQ67="1",BI67,0)</f>
        <v>0</v>
      </c>
      <c r="AD67" s="36">
        <f>IF(AQ67="7",BH67,0)</f>
        <v>0</v>
      </c>
      <c r="AE67" s="36">
        <f>IF(AQ67="7",BI67,0)</f>
        <v>0</v>
      </c>
      <c r="AF67" s="36">
        <f>IF(AQ67="2",BH67,0)</f>
        <v>0</v>
      </c>
      <c r="AG67" s="36">
        <f>IF(AQ67="2",BI67,0)</f>
        <v>0</v>
      </c>
      <c r="AH67" s="36">
        <f>IF(AQ67="0",BJ67,0)</f>
        <v>0</v>
      </c>
      <c r="AI67" s="59" t="s">
        <v>70</v>
      </c>
      <c r="AJ67" s="54">
        <f>IF(AN67=0,K67,0)</f>
        <v>0</v>
      </c>
      <c r="AK67" s="54">
        <f>IF(AN67=15,K67,0)</f>
        <v>0</v>
      </c>
      <c r="AL67" s="54">
        <f>IF(AN67=21,K67,0)</f>
        <v>0</v>
      </c>
      <c r="AN67" s="36">
        <v>21</v>
      </c>
      <c r="AO67" s="36">
        <f>H67*0.441053777754015</f>
        <v>0</v>
      </c>
      <c r="AP67" s="36">
        <f>H67*(1-0.441053777754015)</f>
        <v>0</v>
      </c>
      <c r="AQ67" s="60" t="s">
        <v>83</v>
      </c>
      <c r="AV67" s="36">
        <f>AW67+AX67</f>
        <v>0</v>
      </c>
      <c r="AW67" s="36">
        <f>G67*AO67</f>
        <v>0</v>
      </c>
      <c r="AX67" s="36">
        <f>G67*AP67</f>
        <v>0</v>
      </c>
      <c r="AY67" s="62" t="s">
        <v>429</v>
      </c>
      <c r="AZ67" s="62" t="s">
        <v>442</v>
      </c>
      <c r="BA67" s="59" t="s">
        <v>447</v>
      </c>
      <c r="BC67" s="36">
        <f>AW67+AX67</f>
        <v>0</v>
      </c>
      <c r="BD67" s="36">
        <f>H67/(100-BE67)*100</f>
        <v>0</v>
      </c>
      <c r="BE67" s="36">
        <v>0</v>
      </c>
      <c r="BF67" s="36">
        <f>L67</f>
        <v>10383.66</v>
      </c>
      <c r="BH67" s="54">
        <f>G67*AO67</f>
        <v>0</v>
      </c>
      <c r="BI67" s="54">
        <f>G67*AP67</f>
        <v>0</v>
      </c>
      <c r="BJ67" s="54">
        <f>G67*H67</f>
        <v>0</v>
      </c>
    </row>
    <row r="68" spans="3:5" ht="12.75">
      <c r="C68" s="185" t="s">
        <v>329</v>
      </c>
      <c r="D68" s="186"/>
      <c r="E68" s="186"/>
    </row>
    <row r="69" spans="1:62" ht="12.75">
      <c r="A69" s="82" t="s">
        <v>132</v>
      </c>
      <c r="B69" s="82" t="s">
        <v>212</v>
      </c>
      <c r="C69" s="171" t="s">
        <v>330</v>
      </c>
      <c r="D69" s="172"/>
      <c r="E69" s="173"/>
      <c r="F69" s="82" t="s">
        <v>398</v>
      </c>
      <c r="G69" s="83">
        <v>10.72</v>
      </c>
      <c r="H69" s="83">
        <v>0</v>
      </c>
      <c r="I69" s="83">
        <f>G69*AO69</f>
        <v>0</v>
      </c>
      <c r="J69" s="83">
        <f>G69*AP69</f>
        <v>0</v>
      </c>
      <c r="K69" s="83">
        <f>G69*H69</f>
        <v>0</v>
      </c>
      <c r="L69" s="78">
        <f>G69*69</f>
        <v>739.6800000000001</v>
      </c>
      <c r="Z69" s="36">
        <f>IF(AQ69="5",BJ69,0)</f>
        <v>0</v>
      </c>
      <c r="AB69" s="36">
        <f>IF(AQ69="1",BH69,0)</f>
        <v>0</v>
      </c>
      <c r="AC69" s="36">
        <f>IF(AQ69="1",BI69,0)</f>
        <v>0</v>
      </c>
      <c r="AD69" s="36">
        <f>IF(AQ69="7",BH69,0)</f>
        <v>0</v>
      </c>
      <c r="AE69" s="36">
        <f>IF(AQ69="7",BI69,0)</f>
        <v>0</v>
      </c>
      <c r="AF69" s="36">
        <f>IF(AQ69="2",BH69,0)</f>
        <v>0</v>
      </c>
      <c r="AG69" s="36">
        <f>IF(AQ69="2",BI69,0)</f>
        <v>0</v>
      </c>
      <c r="AH69" s="36">
        <f>IF(AQ69="0",BJ69,0)</f>
        <v>0</v>
      </c>
      <c r="AI69" s="59" t="s">
        <v>70</v>
      </c>
      <c r="AJ69" s="54">
        <f>IF(AN69=0,K69,0)</f>
        <v>0</v>
      </c>
      <c r="AK69" s="54">
        <f>IF(AN69=15,K69,0)</f>
        <v>0</v>
      </c>
      <c r="AL69" s="54">
        <f>IF(AN69=21,K69,0)</f>
        <v>0</v>
      </c>
      <c r="AN69" s="36">
        <v>21</v>
      </c>
      <c r="AO69" s="36">
        <f>H69*0</f>
        <v>0</v>
      </c>
      <c r="AP69" s="36">
        <f>H69*(1-0)</f>
        <v>0</v>
      </c>
      <c r="AQ69" s="60" t="s">
        <v>86</v>
      </c>
      <c r="AV69" s="36">
        <f>AW69+AX69</f>
        <v>0</v>
      </c>
      <c r="AW69" s="36">
        <f>G69*AO69</f>
        <v>0</v>
      </c>
      <c r="AX69" s="36">
        <f>G69*AP69</f>
        <v>0</v>
      </c>
      <c r="AY69" s="62" t="s">
        <v>429</v>
      </c>
      <c r="AZ69" s="62" t="s">
        <v>442</v>
      </c>
      <c r="BA69" s="59" t="s">
        <v>447</v>
      </c>
      <c r="BC69" s="36">
        <f>AW69+AX69</f>
        <v>0</v>
      </c>
      <c r="BD69" s="36">
        <f>H69/(100-BE69)*100</f>
        <v>0</v>
      </c>
      <c r="BE69" s="36">
        <v>0</v>
      </c>
      <c r="BF69" s="36">
        <f>L69</f>
        <v>739.6800000000001</v>
      </c>
      <c r="BH69" s="54">
        <f>G69*AO69</f>
        <v>0</v>
      </c>
      <c r="BI69" s="54">
        <f>G69*AP69</f>
        <v>0</v>
      </c>
      <c r="BJ69" s="54">
        <f>G69*H69</f>
        <v>0</v>
      </c>
    </row>
    <row r="70" spans="1:47" ht="12.75">
      <c r="A70" s="70"/>
      <c r="B70" s="71" t="s">
        <v>213</v>
      </c>
      <c r="C70" s="191" t="s">
        <v>331</v>
      </c>
      <c r="D70" s="180"/>
      <c r="E70" s="192"/>
      <c r="F70" s="70" t="s">
        <v>68</v>
      </c>
      <c r="G70" s="70" t="s">
        <v>68</v>
      </c>
      <c r="H70" s="70" t="s">
        <v>68</v>
      </c>
      <c r="I70" s="74">
        <f>SUM(I71:I76)</f>
        <v>0</v>
      </c>
      <c r="J70" s="74">
        <f>SUM(J71:J76)</f>
        <v>0</v>
      </c>
      <c r="K70" s="74">
        <f>SUM(K71:K76)</f>
        <v>0</v>
      </c>
      <c r="L70" s="73">
        <f>SUM(L71:L76)</f>
        <v>410.51</v>
      </c>
      <c r="AI70" s="59" t="s">
        <v>70</v>
      </c>
      <c r="AS70" s="64">
        <f>SUM(AJ71:AJ76)</f>
        <v>0</v>
      </c>
      <c r="AT70" s="64">
        <f>SUM(AK71:AK76)</f>
        <v>0</v>
      </c>
      <c r="AU70" s="64">
        <f>SUM(AL71:AL76)</f>
        <v>0</v>
      </c>
    </row>
    <row r="71" spans="1:62" ht="12.75">
      <c r="A71" s="47" t="s">
        <v>133</v>
      </c>
      <c r="B71" s="47" t="s">
        <v>214</v>
      </c>
      <c r="C71" s="176" t="s">
        <v>332</v>
      </c>
      <c r="D71" s="172"/>
      <c r="E71" s="172"/>
      <c r="F71" s="47" t="s">
        <v>396</v>
      </c>
      <c r="G71" s="54">
        <v>3</v>
      </c>
      <c r="H71" s="54">
        <v>0</v>
      </c>
      <c r="I71" s="54">
        <f>G71*AO71</f>
        <v>0</v>
      </c>
      <c r="J71" s="54">
        <f>G71*AP71</f>
        <v>0</v>
      </c>
      <c r="K71" s="54">
        <f>G71*H71</f>
        <v>0</v>
      </c>
      <c r="L71" s="54">
        <f>G71*71</f>
        <v>213</v>
      </c>
      <c r="Z71" s="36">
        <f>IF(AQ71="5",BJ71,0)</f>
        <v>0</v>
      </c>
      <c r="AB71" s="36">
        <f>IF(AQ71="1",BH71,0)</f>
        <v>0</v>
      </c>
      <c r="AC71" s="36">
        <f>IF(AQ71="1",BI71,0)</f>
        <v>0</v>
      </c>
      <c r="AD71" s="36">
        <f>IF(AQ71="7",BH71,0)</f>
        <v>0</v>
      </c>
      <c r="AE71" s="36">
        <f>IF(AQ71="7",BI71,0)</f>
        <v>0</v>
      </c>
      <c r="AF71" s="36">
        <f>IF(AQ71="2",BH71,0)</f>
        <v>0</v>
      </c>
      <c r="AG71" s="36">
        <f>IF(AQ71="2",BI71,0)</f>
        <v>0</v>
      </c>
      <c r="AH71" s="36">
        <f>IF(AQ71="0",BJ71,0)</f>
        <v>0</v>
      </c>
      <c r="AI71" s="59" t="s">
        <v>70</v>
      </c>
      <c r="AJ71" s="54">
        <f>IF(AN71=0,K71,0)</f>
        <v>0</v>
      </c>
      <c r="AK71" s="54">
        <f>IF(AN71=15,K71,0)</f>
        <v>0</v>
      </c>
      <c r="AL71" s="54">
        <f>IF(AN71=21,K71,0)</f>
        <v>0</v>
      </c>
      <c r="AN71" s="36">
        <v>21</v>
      </c>
      <c r="AO71" s="36">
        <f>H71*0.572014925373134</f>
        <v>0</v>
      </c>
      <c r="AP71" s="36">
        <f>H71*(1-0.572014925373134)</f>
        <v>0</v>
      </c>
      <c r="AQ71" s="60" t="s">
        <v>105</v>
      </c>
      <c r="AV71" s="36">
        <f>AW71+AX71</f>
        <v>0</v>
      </c>
      <c r="AW71" s="36">
        <f>G71*AO71</f>
        <v>0</v>
      </c>
      <c r="AX71" s="36">
        <f>G71*AP71</f>
        <v>0</v>
      </c>
      <c r="AY71" s="62" t="s">
        <v>430</v>
      </c>
      <c r="AZ71" s="62" t="s">
        <v>443</v>
      </c>
      <c r="BA71" s="59" t="s">
        <v>447</v>
      </c>
      <c r="BC71" s="36">
        <f>AW71+AX71</f>
        <v>0</v>
      </c>
      <c r="BD71" s="36">
        <f>H71/(100-BE71)*100</f>
        <v>0</v>
      </c>
      <c r="BE71" s="36">
        <v>0</v>
      </c>
      <c r="BF71" s="36">
        <f>L71</f>
        <v>213</v>
      </c>
      <c r="BH71" s="54">
        <f>G71*AO71</f>
        <v>0</v>
      </c>
      <c r="BI71" s="54">
        <f>G71*AP71</f>
        <v>0</v>
      </c>
      <c r="BJ71" s="54">
        <f>G71*H71</f>
        <v>0</v>
      </c>
    </row>
    <row r="72" spans="3:5" ht="12.75">
      <c r="C72" s="185" t="s">
        <v>333</v>
      </c>
      <c r="D72" s="186"/>
      <c r="E72" s="186"/>
    </row>
    <row r="73" spans="1:62" ht="12.75">
      <c r="A73" s="77" t="s">
        <v>134</v>
      </c>
      <c r="B73" s="77" t="s">
        <v>215</v>
      </c>
      <c r="C73" s="174" t="s">
        <v>334</v>
      </c>
      <c r="D73" s="172"/>
      <c r="E73" s="175"/>
      <c r="F73" s="77" t="s">
        <v>396</v>
      </c>
      <c r="G73" s="80">
        <v>1</v>
      </c>
      <c r="H73" s="80">
        <v>0</v>
      </c>
      <c r="I73" s="80">
        <f>G73*AO73</f>
        <v>0</v>
      </c>
      <c r="J73" s="80">
        <f>G73*AP73</f>
        <v>0</v>
      </c>
      <c r="K73" s="80">
        <f>G73*H73</f>
        <v>0</v>
      </c>
      <c r="L73" s="79">
        <f>G73*73</f>
        <v>73</v>
      </c>
      <c r="Z73" s="36">
        <f>IF(AQ73="5",BJ73,0)</f>
        <v>0</v>
      </c>
      <c r="AB73" s="36">
        <f>IF(AQ73="1",BH73,0)</f>
        <v>0</v>
      </c>
      <c r="AC73" s="36">
        <f>IF(AQ73="1",BI73,0)</f>
        <v>0</v>
      </c>
      <c r="AD73" s="36">
        <f>IF(AQ73="7",BH73,0)</f>
        <v>0</v>
      </c>
      <c r="AE73" s="36">
        <f>IF(AQ73="7",BI73,0)</f>
        <v>0</v>
      </c>
      <c r="AF73" s="36">
        <f>IF(AQ73="2",BH73,0)</f>
        <v>0</v>
      </c>
      <c r="AG73" s="36">
        <f>IF(AQ73="2",BI73,0)</f>
        <v>0</v>
      </c>
      <c r="AH73" s="36">
        <f>IF(AQ73="0",BJ73,0)</f>
        <v>0</v>
      </c>
      <c r="AI73" s="59" t="s">
        <v>70</v>
      </c>
      <c r="AJ73" s="54">
        <f>IF(AN73=0,K73,0)</f>
        <v>0</v>
      </c>
      <c r="AK73" s="54">
        <f>IF(AN73=15,K73,0)</f>
        <v>0</v>
      </c>
      <c r="AL73" s="54">
        <f>IF(AN73=21,K73,0)</f>
        <v>0</v>
      </c>
      <c r="AN73" s="36">
        <v>21</v>
      </c>
      <c r="AO73" s="36">
        <f>H73*0</f>
        <v>0</v>
      </c>
      <c r="AP73" s="36">
        <f>H73*(1-0)</f>
        <v>0</v>
      </c>
      <c r="AQ73" s="60" t="s">
        <v>105</v>
      </c>
      <c r="AV73" s="36">
        <f>AW73+AX73</f>
        <v>0</v>
      </c>
      <c r="AW73" s="36">
        <f>G73*AO73</f>
        <v>0</v>
      </c>
      <c r="AX73" s="36">
        <f>G73*AP73</f>
        <v>0</v>
      </c>
      <c r="AY73" s="62" t="s">
        <v>430</v>
      </c>
      <c r="AZ73" s="62" t="s">
        <v>443</v>
      </c>
      <c r="BA73" s="59" t="s">
        <v>447</v>
      </c>
      <c r="BC73" s="36">
        <f>AW73+AX73</f>
        <v>0</v>
      </c>
      <c r="BD73" s="36">
        <f>H73/(100-BE73)*100</f>
        <v>0</v>
      </c>
      <c r="BE73" s="36">
        <v>0</v>
      </c>
      <c r="BF73" s="36">
        <f>L73</f>
        <v>73</v>
      </c>
      <c r="BH73" s="54">
        <f>G73*AO73</f>
        <v>0</v>
      </c>
      <c r="BI73" s="54">
        <f>G73*AP73</f>
        <v>0</v>
      </c>
      <c r="BJ73" s="54">
        <f>G73*H73</f>
        <v>0</v>
      </c>
    </row>
    <row r="74" spans="3:5" ht="12.75">
      <c r="C74" s="185" t="s">
        <v>335</v>
      </c>
      <c r="D74" s="186"/>
      <c r="E74" s="186"/>
    </row>
    <row r="75" spans="1:62" ht="12.75">
      <c r="A75" s="88" t="s">
        <v>135</v>
      </c>
      <c r="B75" s="88" t="s">
        <v>216</v>
      </c>
      <c r="C75" s="187" t="s">
        <v>336</v>
      </c>
      <c r="D75" s="184"/>
      <c r="E75" s="188"/>
      <c r="F75" s="88" t="s">
        <v>396</v>
      </c>
      <c r="G75" s="89">
        <v>1.65</v>
      </c>
      <c r="H75" s="89">
        <v>0</v>
      </c>
      <c r="I75" s="89">
        <f>G75*AO75</f>
        <v>0</v>
      </c>
      <c r="J75" s="89">
        <f>G75*AP75</f>
        <v>0</v>
      </c>
      <c r="K75" s="89">
        <f>G75*H75</f>
        <v>0</v>
      </c>
      <c r="L75" s="85">
        <f>G75*75</f>
        <v>123.75</v>
      </c>
      <c r="Z75" s="36">
        <f>IF(AQ75="5",BJ75,0)</f>
        <v>0</v>
      </c>
      <c r="AB75" s="36">
        <f>IF(AQ75="1",BH75,0)</f>
        <v>0</v>
      </c>
      <c r="AC75" s="36">
        <f>IF(AQ75="1",BI75,0)</f>
        <v>0</v>
      </c>
      <c r="AD75" s="36">
        <f>IF(AQ75="7",BH75,0)</f>
        <v>0</v>
      </c>
      <c r="AE75" s="36">
        <f>IF(AQ75="7",BI75,0)</f>
        <v>0</v>
      </c>
      <c r="AF75" s="36">
        <f>IF(AQ75="2",BH75,0)</f>
        <v>0</v>
      </c>
      <c r="AG75" s="36">
        <f>IF(AQ75="2",BI75,0)</f>
        <v>0</v>
      </c>
      <c r="AH75" s="36">
        <f>IF(AQ75="0",BJ75,0)</f>
        <v>0</v>
      </c>
      <c r="AI75" s="59" t="s">
        <v>70</v>
      </c>
      <c r="AJ75" s="55">
        <f>IF(AN75=0,K75,0)</f>
        <v>0</v>
      </c>
      <c r="AK75" s="55">
        <f>IF(AN75=15,K75,0)</f>
        <v>0</v>
      </c>
      <c r="AL75" s="55">
        <f>IF(AN75=21,K75,0)</f>
        <v>0</v>
      </c>
      <c r="AN75" s="36">
        <v>21</v>
      </c>
      <c r="AO75" s="36">
        <f>H75*1</f>
        <v>0</v>
      </c>
      <c r="AP75" s="36">
        <f>H75*(1-1)</f>
        <v>0</v>
      </c>
      <c r="AQ75" s="61" t="s">
        <v>105</v>
      </c>
      <c r="AV75" s="36">
        <f>AW75+AX75</f>
        <v>0</v>
      </c>
      <c r="AW75" s="36">
        <f>G75*AO75</f>
        <v>0</v>
      </c>
      <c r="AX75" s="36">
        <f>G75*AP75</f>
        <v>0</v>
      </c>
      <c r="AY75" s="62" t="s">
        <v>430</v>
      </c>
      <c r="AZ75" s="62" t="s">
        <v>443</v>
      </c>
      <c r="BA75" s="59" t="s">
        <v>447</v>
      </c>
      <c r="BC75" s="36">
        <f>AW75+AX75</f>
        <v>0</v>
      </c>
      <c r="BD75" s="36">
        <f>H75/(100-BE75)*100</f>
        <v>0</v>
      </c>
      <c r="BE75" s="36">
        <v>0</v>
      </c>
      <c r="BF75" s="36">
        <f>L75</f>
        <v>123.75</v>
      </c>
      <c r="BH75" s="55">
        <f>G75*AO75</f>
        <v>0</v>
      </c>
      <c r="BI75" s="55">
        <f>G75*AP75</f>
        <v>0</v>
      </c>
      <c r="BJ75" s="55">
        <f>G75*H75</f>
        <v>0</v>
      </c>
    </row>
    <row r="76" spans="1:62" ht="12.75">
      <c r="A76" s="82" t="s">
        <v>136</v>
      </c>
      <c r="B76" s="82" t="s">
        <v>217</v>
      </c>
      <c r="C76" s="171" t="s">
        <v>337</v>
      </c>
      <c r="D76" s="172"/>
      <c r="E76" s="173"/>
      <c r="F76" s="82" t="s">
        <v>398</v>
      </c>
      <c r="G76" s="83">
        <v>0.01</v>
      </c>
      <c r="H76" s="83">
        <v>0</v>
      </c>
      <c r="I76" s="83">
        <f>G76*AO76</f>
        <v>0</v>
      </c>
      <c r="J76" s="83">
        <f>G76*AP76</f>
        <v>0</v>
      </c>
      <c r="K76" s="83">
        <f>G76*H76</f>
        <v>0</v>
      </c>
      <c r="L76" s="78">
        <f>G76*76</f>
        <v>0.76</v>
      </c>
      <c r="Z76" s="36">
        <f>IF(AQ76="5",BJ76,0)</f>
        <v>0</v>
      </c>
      <c r="AB76" s="36">
        <f>IF(AQ76="1",BH76,0)</f>
        <v>0</v>
      </c>
      <c r="AC76" s="36">
        <f>IF(AQ76="1",BI76,0)</f>
        <v>0</v>
      </c>
      <c r="AD76" s="36">
        <f>IF(AQ76="7",BH76,0)</f>
        <v>0</v>
      </c>
      <c r="AE76" s="36">
        <f>IF(AQ76="7",BI76,0)</f>
        <v>0</v>
      </c>
      <c r="AF76" s="36">
        <f>IF(AQ76="2",BH76,0)</f>
        <v>0</v>
      </c>
      <c r="AG76" s="36">
        <f>IF(AQ76="2",BI76,0)</f>
        <v>0</v>
      </c>
      <c r="AH76" s="36">
        <f>IF(AQ76="0",BJ76,0)</f>
        <v>0</v>
      </c>
      <c r="AI76" s="59" t="s">
        <v>70</v>
      </c>
      <c r="AJ76" s="54">
        <f>IF(AN76=0,K76,0)</f>
        <v>0</v>
      </c>
      <c r="AK76" s="54">
        <f>IF(AN76=15,K76,0)</f>
        <v>0</v>
      </c>
      <c r="AL76" s="54">
        <f>IF(AN76=21,K76,0)</f>
        <v>0</v>
      </c>
      <c r="AN76" s="36">
        <v>21</v>
      </c>
      <c r="AO76" s="36">
        <f>H76*0</f>
        <v>0</v>
      </c>
      <c r="AP76" s="36">
        <f>H76*(1-0)</f>
        <v>0</v>
      </c>
      <c r="AQ76" s="60" t="s">
        <v>86</v>
      </c>
      <c r="AV76" s="36">
        <f>AW76+AX76</f>
        <v>0</v>
      </c>
      <c r="AW76" s="36">
        <f>G76*AO76</f>
        <v>0</v>
      </c>
      <c r="AX76" s="36">
        <f>G76*AP76</f>
        <v>0</v>
      </c>
      <c r="AY76" s="62" t="s">
        <v>430</v>
      </c>
      <c r="AZ76" s="62" t="s">
        <v>443</v>
      </c>
      <c r="BA76" s="59" t="s">
        <v>447</v>
      </c>
      <c r="BC76" s="36">
        <f>AW76+AX76</f>
        <v>0</v>
      </c>
      <c r="BD76" s="36">
        <f>H76/(100-BE76)*100</f>
        <v>0</v>
      </c>
      <c r="BE76" s="36">
        <v>0</v>
      </c>
      <c r="BF76" s="36">
        <f>L76</f>
        <v>0.76</v>
      </c>
      <c r="BH76" s="54">
        <f>G76*AO76</f>
        <v>0</v>
      </c>
      <c r="BI76" s="54">
        <f>G76*AP76</f>
        <v>0</v>
      </c>
      <c r="BJ76" s="54">
        <f>G76*H76</f>
        <v>0</v>
      </c>
    </row>
    <row r="77" spans="1:47" ht="12.75">
      <c r="A77" s="75"/>
      <c r="B77" s="76" t="s">
        <v>218</v>
      </c>
      <c r="C77" s="181" t="s">
        <v>338</v>
      </c>
      <c r="D77" s="180"/>
      <c r="E77" s="182"/>
      <c r="F77" s="75" t="s">
        <v>68</v>
      </c>
      <c r="G77" s="75" t="s">
        <v>68</v>
      </c>
      <c r="H77" s="75" t="s">
        <v>68</v>
      </c>
      <c r="I77" s="81">
        <f>SUM(I78:I102)</f>
        <v>0</v>
      </c>
      <c r="J77" s="81">
        <f>SUM(J78:J102)</f>
        <v>0</v>
      </c>
      <c r="K77" s="81">
        <f>SUM(K78:K102)</f>
        <v>0</v>
      </c>
      <c r="L77" s="72">
        <f>SUM(L78:L102)</f>
        <v>275904.74</v>
      </c>
      <c r="AI77" s="59" t="s">
        <v>70</v>
      </c>
      <c r="AS77" s="64">
        <f>SUM(AJ78:AJ102)</f>
        <v>0</v>
      </c>
      <c r="AT77" s="64">
        <f>SUM(AK78:AK102)</f>
        <v>0</v>
      </c>
      <c r="AU77" s="64">
        <f>SUM(AL78:AL102)</f>
        <v>0</v>
      </c>
    </row>
    <row r="78" spans="1:62" ht="12.75">
      <c r="A78" s="82" t="s">
        <v>137</v>
      </c>
      <c r="B78" s="82" t="s">
        <v>219</v>
      </c>
      <c r="C78" s="171" t="s">
        <v>339</v>
      </c>
      <c r="D78" s="172"/>
      <c r="E78" s="173"/>
      <c r="F78" s="82" t="s">
        <v>401</v>
      </c>
      <c r="G78" s="83">
        <v>1400</v>
      </c>
      <c r="H78" s="83">
        <v>0</v>
      </c>
      <c r="I78" s="83">
        <f aca="true" t="shared" si="0" ref="I78:I102">G78*AO78</f>
        <v>0</v>
      </c>
      <c r="J78" s="83">
        <f aca="true" t="shared" si="1" ref="J78:J102">G78*AP78</f>
        <v>0</v>
      </c>
      <c r="K78" s="83">
        <f aca="true" t="shared" si="2" ref="K78:K102">G78*H78</f>
        <v>0</v>
      </c>
      <c r="L78" s="78">
        <f>G78*78</f>
        <v>109200</v>
      </c>
      <c r="Z78" s="36">
        <f aca="true" t="shared" si="3" ref="Z78:Z102">IF(AQ78="5",BJ78,0)</f>
        <v>0</v>
      </c>
      <c r="AB78" s="36">
        <f aca="true" t="shared" si="4" ref="AB78:AB102">IF(AQ78="1",BH78,0)</f>
        <v>0</v>
      </c>
      <c r="AC78" s="36">
        <f aca="true" t="shared" si="5" ref="AC78:AC102">IF(AQ78="1",BI78,0)</f>
        <v>0</v>
      </c>
      <c r="AD78" s="36">
        <f aca="true" t="shared" si="6" ref="AD78:AD102">IF(AQ78="7",BH78,0)</f>
        <v>0</v>
      </c>
      <c r="AE78" s="36">
        <f aca="true" t="shared" si="7" ref="AE78:AE102">IF(AQ78="7",BI78,0)</f>
        <v>0</v>
      </c>
      <c r="AF78" s="36">
        <f aca="true" t="shared" si="8" ref="AF78:AF102">IF(AQ78="2",BH78,0)</f>
        <v>0</v>
      </c>
      <c r="AG78" s="36">
        <f aca="true" t="shared" si="9" ref="AG78:AG102">IF(AQ78="2",BI78,0)</f>
        <v>0</v>
      </c>
      <c r="AH78" s="36">
        <f aca="true" t="shared" si="10" ref="AH78:AH102">IF(AQ78="0",BJ78,0)</f>
        <v>0</v>
      </c>
      <c r="AI78" s="59" t="s">
        <v>70</v>
      </c>
      <c r="AJ78" s="54">
        <f aca="true" t="shared" si="11" ref="AJ78:AJ102">IF(AN78=0,K78,0)</f>
        <v>0</v>
      </c>
      <c r="AK78" s="54">
        <f aca="true" t="shared" si="12" ref="AK78:AK102">IF(AN78=15,K78,0)</f>
        <v>0</v>
      </c>
      <c r="AL78" s="54">
        <f aca="true" t="shared" si="13" ref="AL78:AL102">IF(AN78=21,K78,0)</f>
        <v>0</v>
      </c>
      <c r="AN78" s="36">
        <v>21</v>
      </c>
      <c r="AO78" s="36">
        <f>H78*0.12034632034632</f>
        <v>0</v>
      </c>
      <c r="AP78" s="36">
        <f>H78*(1-0.12034632034632)</f>
        <v>0</v>
      </c>
      <c r="AQ78" s="60" t="s">
        <v>105</v>
      </c>
      <c r="AV78" s="36">
        <f aca="true" t="shared" si="14" ref="AV78:AV102">AW78+AX78</f>
        <v>0</v>
      </c>
      <c r="AW78" s="36">
        <f aca="true" t="shared" si="15" ref="AW78:AW102">G78*AO78</f>
        <v>0</v>
      </c>
      <c r="AX78" s="36">
        <f aca="true" t="shared" si="16" ref="AX78:AX102">G78*AP78</f>
        <v>0</v>
      </c>
      <c r="AY78" s="62" t="s">
        <v>431</v>
      </c>
      <c r="AZ78" s="62" t="s">
        <v>444</v>
      </c>
      <c r="BA78" s="59" t="s">
        <v>447</v>
      </c>
      <c r="BC78" s="36">
        <f aca="true" t="shared" si="17" ref="BC78:BC102">AW78+AX78</f>
        <v>0</v>
      </c>
      <c r="BD78" s="36">
        <f aca="true" t="shared" si="18" ref="BD78:BD102">H78/(100-BE78)*100</f>
        <v>0</v>
      </c>
      <c r="BE78" s="36">
        <v>0</v>
      </c>
      <c r="BF78" s="36">
        <f aca="true" t="shared" si="19" ref="BF78:BF102">L78</f>
        <v>109200</v>
      </c>
      <c r="BH78" s="54">
        <f aca="true" t="shared" si="20" ref="BH78:BH102">G78*AO78</f>
        <v>0</v>
      </c>
      <c r="BI78" s="54">
        <f aca="true" t="shared" si="21" ref="BI78:BI102">G78*AP78</f>
        <v>0</v>
      </c>
      <c r="BJ78" s="54">
        <f aca="true" t="shared" si="22" ref="BJ78:BJ102">G78*H78</f>
        <v>0</v>
      </c>
    </row>
    <row r="79" spans="1:62" ht="12.75">
      <c r="A79" s="82" t="s">
        <v>138</v>
      </c>
      <c r="B79" s="82" t="s">
        <v>220</v>
      </c>
      <c r="C79" s="171" t="s">
        <v>340</v>
      </c>
      <c r="D79" s="172"/>
      <c r="E79" s="173"/>
      <c r="F79" s="82" t="s">
        <v>396</v>
      </c>
      <c r="G79" s="83">
        <v>9.18</v>
      </c>
      <c r="H79" s="83">
        <v>0</v>
      </c>
      <c r="I79" s="83">
        <f t="shared" si="0"/>
        <v>0</v>
      </c>
      <c r="J79" s="83">
        <f t="shared" si="1"/>
        <v>0</v>
      </c>
      <c r="K79" s="83">
        <f t="shared" si="2"/>
        <v>0</v>
      </c>
      <c r="L79" s="78">
        <f>G79*79</f>
        <v>725.22</v>
      </c>
      <c r="Z79" s="36">
        <f t="shared" si="3"/>
        <v>0</v>
      </c>
      <c r="AB79" s="36">
        <f t="shared" si="4"/>
        <v>0</v>
      </c>
      <c r="AC79" s="36">
        <f t="shared" si="5"/>
        <v>0</v>
      </c>
      <c r="AD79" s="36">
        <f t="shared" si="6"/>
        <v>0</v>
      </c>
      <c r="AE79" s="36">
        <f t="shared" si="7"/>
        <v>0</v>
      </c>
      <c r="AF79" s="36">
        <f t="shared" si="8"/>
        <v>0</v>
      </c>
      <c r="AG79" s="36">
        <f t="shared" si="9"/>
        <v>0</v>
      </c>
      <c r="AH79" s="36">
        <f t="shared" si="10"/>
        <v>0</v>
      </c>
      <c r="AI79" s="59" t="s">
        <v>70</v>
      </c>
      <c r="AJ79" s="54">
        <f t="shared" si="11"/>
        <v>0</v>
      </c>
      <c r="AK79" s="54">
        <f t="shared" si="12"/>
        <v>0</v>
      </c>
      <c r="AL79" s="54">
        <f t="shared" si="13"/>
        <v>0</v>
      </c>
      <c r="AN79" s="36">
        <v>21</v>
      </c>
      <c r="AO79" s="36">
        <f>H79*0.0538439589108104</f>
        <v>0</v>
      </c>
      <c r="AP79" s="36">
        <f>H79*(1-0.0538439589108104)</f>
        <v>0</v>
      </c>
      <c r="AQ79" s="60" t="s">
        <v>105</v>
      </c>
      <c r="AV79" s="36">
        <f t="shared" si="14"/>
        <v>0</v>
      </c>
      <c r="AW79" s="36">
        <f t="shared" si="15"/>
        <v>0</v>
      </c>
      <c r="AX79" s="36">
        <f t="shared" si="16"/>
        <v>0</v>
      </c>
      <c r="AY79" s="62" t="s">
        <v>431</v>
      </c>
      <c r="AZ79" s="62" t="s">
        <v>444</v>
      </c>
      <c r="BA79" s="59" t="s">
        <v>447</v>
      </c>
      <c r="BC79" s="36">
        <f t="shared" si="17"/>
        <v>0</v>
      </c>
      <c r="BD79" s="36">
        <f t="shared" si="18"/>
        <v>0</v>
      </c>
      <c r="BE79" s="36">
        <v>0</v>
      </c>
      <c r="BF79" s="36">
        <f t="shared" si="19"/>
        <v>725.22</v>
      </c>
      <c r="BH79" s="54">
        <f t="shared" si="20"/>
        <v>0</v>
      </c>
      <c r="BI79" s="54">
        <f t="shared" si="21"/>
        <v>0</v>
      </c>
      <c r="BJ79" s="54">
        <f t="shared" si="22"/>
        <v>0</v>
      </c>
    </row>
    <row r="80" spans="1:62" ht="12.75">
      <c r="A80" s="82" t="s">
        <v>139</v>
      </c>
      <c r="B80" s="82" t="s">
        <v>221</v>
      </c>
      <c r="C80" s="171" t="s">
        <v>341</v>
      </c>
      <c r="D80" s="172"/>
      <c r="E80" s="173"/>
      <c r="F80" s="82" t="s">
        <v>400</v>
      </c>
      <c r="G80" s="83">
        <v>11.6</v>
      </c>
      <c r="H80" s="83">
        <v>0</v>
      </c>
      <c r="I80" s="83">
        <f t="shared" si="0"/>
        <v>0</v>
      </c>
      <c r="J80" s="83">
        <f t="shared" si="1"/>
        <v>0</v>
      </c>
      <c r="K80" s="83">
        <f t="shared" si="2"/>
        <v>0</v>
      </c>
      <c r="L80" s="78">
        <f>G80*80</f>
        <v>928</v>
      </c>
      <c r="Z80" s="36">
        <f t="shared" si="3"/>
        <v>0</v>
      </c>
      <c r="AB80" s="36">
        <f t="shared" si="4"/>
        <v>0</v>
      </c>
      <c r="AC80" s="36">
        <f t="shared" si="5"/>
        <v>0</v>
      </c>
      <c r="AD80" s="36">
        <f t="shared" si="6"/>
        <v>0</v>
      </c>
      <c r="AE80" s="36">
        <f t="shared" si="7"/>
        <v>0</v>
      </c>
      <c r="AF80" s="36">
        <f t="shared" si="8"/>
        <v>0</v>
      </c>
      <c r="AG80" s="36">
        <f t="shared" si="9"/>
        <v>0</v>
      </c>
      <c r="AH80" s="36">
        <f t="shared" si="10"/>
        <v>0</v>
      </c>
      <c r="AI80" s="59" t="s">
        <v>70</v>
      </c>
      <c r="AJ80" s="54">
        <f t="shared" si="11"/>
        <v>0</v>
      </c>
      <c r="AK80" s="54">
        <f t="shared" si="12"/>
        <v>0</v>
      </c>
      <c r="AL80" s="54">
        <f t="shared" si="13"/>
        <v>0</v>
      </c>
      <c r="AN80" s="36">
        <v>21</v>
      </c>
      <c r="AO80" s="36">
        <f>H80*0.109161548483157</f>
        <v>0</v>
      </c>
      <c r="AP80" s="36">
        <f>H80*(1-0.109161548483157)</f>
        <v>0</v>
      </c>
      <c r="AQ80" s="60" t="s">
        <v>105</v>
      </c>
      <c r="AV80" s="36">
        <f t="shared" si="14"/>
        <v>0</v>
      </c>
      <c r="AW80" s="36">
        <f t="shared" si="15"/>
        <v>0</v>
      </c>
      <c r="AX80" s="36">
        <f t="shared" si="16"/>
        <v>0</v>
      </c>
      <c r="AY80" s="62" t="s">
        <v>431</v>
      </c>
      <c r="AZ80" s="62" t="s">
        <v>444</v>
      </c>
      <c r="BA80" s="59" t="s">
        <v>447</v>
      </c>
      <c r="BC80" s="36">
        <f t="shared" si="17"/>
        <v>0</v>
      </c>
      <c r="BD80" s="36">
        <f t="shared" si="18"/>
        <v>0</v>
      </c>
      <c r="BE80" s="36">
        <v>0</v>
      </c>
      <c r="BF80" s="36">
        <f t="shared" si="19"/>
        <v>928</v>
      </c>
      <c r="BH80" s="54">
        <f t="shared" si="20"/>
        <v>0</v>
      </c>
      <c r="BI80" s="54">
        <f t="shared" si="21"/>
        <v>0</v>
      </c>
      <c r="BJ80" s="54">
        <f t="shared" si="22"/>
        <v>0</v>
      </c>
    </row>
    <row r="81" spans="1:62" ht="12.75">
      <c r="A81" s="82" t="s">
        <v>140</v>
      </c>
      <c r="B81" s="82" t="s">
        <v>222</v>
      </c>
      <c r="C81" s="171" t="s">
        <v>342</v>
      </c>
      <c r="D81" s="172"/>
      <c r="E81" s="173"/>
      <c r="F81" s="82" t="s">
        <v>401</v>
      </c>
      <c r="G81" s="83">
        <v>1600</v>
      </c>
      <c r="H81" s="83">
        <v>0</v>
      </c>
      <c r="I81" s="83">
        <f t="shared" si="0"/>
        <v>0</v>
      </c>
      <c r="J81" s="83">
        <f t="shared" si="1"/>
        <v>0</v>
      </c>
      <c r="K81" s="83">
        <f t="shared" si="2"/>
        <v>0</v>
      </c>
      <c r="L81" s="78">
        <f>G81*81</f>
        <v>129600</v>
      </c>
      <c r="Z81" s="36">
        <f t="shared" si="3"/>
        <v>0</v>
      </c>
      <c r="AB81" s="36">
        <f t="shared" si="4"/>
        <v>0</v>
      </c>
      <c r="AC81" s="36">
        <f t="shared" si="5"/>
        <v>0</v>
      </c>
      <c r="AD81" s="36">
        <f t="shared" si="6"/>
        <v>0</v>
      </c>
      <c r="AE81" s="36">
        <f t="shared" si="7"/>
        <v>0</v>
      </c>
      <c r="AF81" s="36">
        <f t="shared" si="8"/>
        <v>0</v>
      </c>
      <c r="AG81" s="36">
        <f t="shared" si="9"/>
        <v>0</v>
      </c>
      <c r="AH81" s="36">
        <f t="shared" si="10"/>
        <v>0</v>
      </c>
      <c r="AI81" s="59" t="s">
        <v>70</v>
      </c>
      <c r="AJ81" s="54">
        <f t="shared" si="11"/>
        <v>0</v>
      </c>
      <c r="AK81" s="54">
        <f t="shared" si="12"/>
        <v>0</v>
      </c>
      <c r="AL81" s="54">
        <f t="shared" si="13"/>
        <v>0</v>
      </c>
      <c r="AN81" s="36">
        <v>21</v>
      </c>
      <c r="AO81" s="36">
        <f>H81*0.0976415094339623</f>
        <v>0</v>
      </c>
      <c r="AP81" s="36">
        <f>H81*(1-0.0976415094339623)</f>
        <v>0</v>
      </c>
      <c r="AQ81" s="60" t="s">
        <v>105</v>
      </c>
      <c r="AV81" s="36">
        <f t="shared" si="14"/>
        <v>0</v>
      </c>
      <c r="AW81" s="36">
        <f t="shared" si="15"/>
        <v>0</v>
      </c>
      <c r="AX81" s="36">
        <f t="shared" si="16"/>
        <v>0</v>
      </c>
      <c r="AY81" s="62" t="s">
        <v>431</v>
      </c>
      <c r="AZ81" s="62" t="s">
        <v>444</v>
      </c>
      <c r="BA81" s="59" t="s">
        <v>447</v>
      </c>
      <c r="BC81" s="36">
        <f t="shared" si="17"/>
        <v>0</v>
      </c>
      <c r="BD81" s="36">
        <f t="shared" si="18"/>
        <v>0</v>
      </c>
      <c r="BE81" s="36">
        <v>0</v>
      </c>
      <c r="BF81" s="36">
        <f t="shared" si="19"/>
        <v>129600</v>
      </c>
      <c r="BH81" s="54">
        <f t="shared" si="20"/>
        <v>0</v>
      </c>
      <c r="BI81" s="54">
        <f t="shared" si="21"/>
        <v>0</v>
      </c>
      <c r="BJ81" s="54">
        <f t="shared" si="22"/>
        <v>0</v>
      </c>
    </row>
    <row r="82" spans="1:62" ht="12.75">
      <c r="A82" s="88" t="s">
        <v>141</v>
      </c>
      <c r="B82" s="88" t="s">
        <v>223</v>
      </c>
      <c r="C82" s="187" t="s">
        <v>343</v>
      </c>
      <c r="D82" s="184"/>
      <c r="E82" s="188"/>
      <c r="F82" s="88" t="s">
        <v>398</v>
      </c>
      <c r="G82" s="89">
        <v>0.39</v>
      </c>
      <c r="H82" s="89">
        <v>0</v>
      </c>
      <c r="I82" s="89">
        <f t="shared" si="0"/>
        <v>0</v>
      </c>
      <c r="J82" s="89">
        <f t="shared" si="1"/>
        <v>0</v>
      </c>
      <c r="K82" s="89">
        <f t="shared" si="2"/>
        <v>0</v>
      </c>
      <c r="L82" s="85">
        <f>G82*82</f>
        <v>31.98</v>
      </c>
      <c r="Z82" s="36">
        <f t="shared" si="3"/>
        <v>0</v>
      </c>
      <c r="AB82" s="36">
        <f t="shared" si="4"/>
        <v>0</v>
      </c>
      <c r="AC82" s="36">
        <f t="shared" si="5"/>
        <v>0</v>
      </c>
      <c r="AD82" s="36">
        <f t="shared" si="6"/>
        <v>0</v>
      </c>
      <c r="AE82" s="36">
        <f t="shared" si="7"/>
        <v>0</v>
      </c>
      <c r="AF82" s="36">
        <f t="shared" si="8"/>
        <v>0</v>
      </c>
      <c r="AG82" s="36">
        <f t="shared" si="9"/>
        <v>0</v>
      </c>
      <c r="AH82" s="36">
        <f t="shared" si="10"/>
        <v>0</v>
      </c>
      <c r="AI82" s="59" t="s">
        <v>70</v>
      </c>
      <c r="AJ82" s="55">
        <f t="shared" si="11"/>
        <v>0</v>
      </c>
      <c r="AK82" s="55">
        <f t="shared" si="12"/>
        <v>0</v>
      </c>
      <c r="AL82" s="55">
        <f t="shared" si="13"/>
        <v>0</v>
      </c>
      <c r="AN82" s="36">
        <v>21</v>
      </c>
      <c r="AO82" s="36">
        <f aca="true" t="shared" si="23" ref="AO82:AO91">H82*1</f>
        <v>0</v>
      </c>
      <c r="AP82" s="36">
        <f aca="true" t="shared" si="24" ref="AP82:AP91">H82*(1-1)</f>
        <v>0</v>
      </c>
      <c r="AQ82" s="61" t="s">
        <v>105</v>
      </c>
      <c r="AV82" s="36">
        <f t="shared" si="14"/>
        <v>0</v>
      </c>
      <c r="AW82" s="36">
        <f t="shared" si="15"/>
        <v>0</v>
      </c>
      <c r="AX82" s="36">
        <f t="shared" si="16"/>
        <v>0</v>
      </c>
      <c r="AY82" s="62" t="s">
        <v>431</v>
      </c>
      <c r="AZ82" s="62" t="s">
        <v>444</v>
      </c>
      <c r="BA82" s="59" t="s">
        <v>447</v>
      </c>
      <c r="BC82" s="36">
        <f t="shared" si="17"/>
        <v>0</v>
      </c>
      <c r="BD82" s="36">
        <f t="shared" si="18"/>
        <v>0</v>
      </c>
      <c r="BE82" s="36">
        <v>0</v>
      </c>
      <c r="BF82" s="36">
        <f t="shared" si="19"/>
        <v>31.98</v>
      </c>
      <c r="BH82" s="55">
        <f t="shared" si="20"/>
        <v>0</v>
      </c>
      <c r="BI82" s="55">
        <f t="shared" si="21"/>
        <v>0</v>
      </c>
      <c r="BJ82" s="55">
        <f t="shared" si="22"/>
        <v>0</v>
      </c>
    </row>
    <row r="83" spans="1:62" ht="12.75">
      <c r="A83" s="88" t="s">
        <v>142</v>
      </c>
      <c r="B83" s="88" t="s">
        <v>224</v>
      </c>
      <c r="C83" s="187" t="s">
        <v>344</v>
      </c>
      <c r="D83" s="184"/>
      <c r="E83" s="188"/>
      <c r="F83" s="88" t="s">
        <v>398</v>
      </c>
      <c r="G83" s="89">
        <v>0.01</v>
      </c>
      <c r="H83" s="89">
        <v>0</v>
      </c>
      <c r="I83" s="89">
        <f t="shared" si="0"/>
        <v>0</v>
      </c>
      <c r="J83" s="89">
        <f t="shared" si="1"/>
        <v>0</v>
      </c>
      <c r="K83" s="89">
        <f t="shared" si="2"/>
        <v>0</v>
      </c>
      <c r="L83" s="85">
        <f>G83*83</f>
        <v>0.8300000000000001</v>
      </c>
      <c r="Z83" s="36">
        <f t="shared" si="3"/>
        <v>0</v>
      </c>
      <c r="AB83" s="36">
        <f t="shared" si="4"/>
        <v>0</v>
      </c>
      <c r="AC83" s="36">
        <f t="shared" si="5"/>
        <v>0</v>
      </c>
      <c r="AD83" s="36">
        <f t="shared" si="6"/>
        <v>0</v>
      </c>
      <c r="AE83" s="36">
        <f t="shared" si="7"/>
        <v>0</v>
      </c>
      <c r="AF83" s="36">
        <f t="shared" si="8"/>
        <v>0</v>
      </c>
      <c r="AG83" s="36">
        <f t="shared" si="9"/>
        <v>0</v>
      </c>
      <c r="AH83" s="36">
        <f t="shared" si="10"/>
        <v>0</v>
      </c>
      <c r="AI83" s="59" t="s">
        <v>70</v>
      </c>
      <c r="AJ83" s="55">
        <f t="shared" si="11"/>
        <v>0</v>
      </c>
      <c r="AK83" s="55">
        <f t="shared" si="12"/>
        <v>0</v>
      </c>
      <c r="AL83" s="55">
        <f t="shared" si="13"/>
        <v>0</v>
      </c>
      <c r="AN83" s="36">
        <v>21</v>
      </c>
      <c r="AO83" s="36">
        <f t="shared" si="23"/>
        <v>0</v>
      </c>
      <c r="AP83" s="36">
        <f t="shared" si="24"/>
        <v>0</v>
      </c>
      <c r="AQ83" s="61" t="s">
        <v>105</v>
      </c>
      <c r="AV83" s="36">
        <f t="shared" si="14"/>
        <v>0</v>
      </c>
      <c r="AW83" s="36">
        <f t="shared" si="15"/>
        <v>0</v>
      </c>
      <c r="AX83" s="36">
        <f t="shared" si="16"/>
        <v>0</v>
      </c>
      <c r="AY83" s="62" t="s">
        <v>431</v>
      </c>
      <c r="AZ83" s="62" t="s">
        <v>444</v>
      </c>
      <c r="BA83" s="59" t="s">
        <v>447</v>
      </c>
      <c r="BC83" s="36">
        <f t="shared" si="17"/>
        <v>0</v>
      </c>
      <c r="BD83" s="36">
        <f t="shared" si="18"/>
        <v>0</v>
      </c>
      <c r="BE83" s="36">
        <v>0</v>
      </c>
      <c r="BF83" s="36">
        <f t="shared" si="19"/>
        <v>0.8300000000000001</v>
      </c>
      <c r="BH83" s="55">
        <f t="shared" si="20"/>
        <v>0</v>
      </c>
      <c r="BI83" s="55">
        <f t="shared" si="21"/>
        <v>0</v>
      </c>
      <c r="BJ83" s="55">
        <f t="shared" si="22"/>
        <v>0</v>
      </c>
    </row>
    <row r="84" spans="1:62" ht="12.75">
      <c r="A84" s="88" t="s">
        <v>143</v>
      </c>
      <c r="B84" s="88" t="s">
        <v>225</v>
      </c>
      <c r="C84" s="187" t="s">
        <v>345</v>
      </c>
      <c r="D84" s="184"/>
      <c r="E84" s="188"/>
      <c r="F84" s="88" t="s">
        <v>398</v>
      </c>
      <c r="G84" s="89">
        <v>0.04</v>
      </c>
      <c r="H84" s="89">
        <v>0</v>
      </c>
      <c r="I84" s="89">
        <f t="shared" si="0"/>
        <v>0</v>
      </c>
      <c r="J84" s="89">
        <f t="shared" si="1"/>
        <v>0</v>
      </c>
      <c r="K84" s="89">
        <f t="shared" si="2"/>
        <v>0</v>
      </c>
      <c r="L84" s="85">
        <f>G84*84</f>
        <v>3.36</v>
      </c>
      <c r="Z84" s="36">
        <f t="shared" si="3"/>
        <v>0</v>
      </c>
      <c r="AB84" s="36">
        <f t="shared" si="4"/>
        <v>0</v>
      </c>
      <c r="AC84" s="36">
        <f t="shared" si="5"/>
        <v>0</v>
      </c>
      <c r="AD84" s="36">
        <f t="shared" si="6"/>
        <v>0</v>
      </c>
      <c r="AE84" s="36">
        <f t="shared" si="7"/>
        <v>0</v>
      </c>
      <c r="AF84" s="36">
        <f t="shared" si="8"/>
        <v>0</v>
      </c>
      <c r="AG84" s="36">
        <f t="shared" si="9"/>
        <v>0</v>
      </c>
      <c r="AH84" s="36">
        <f t="shared" si="10"/>
        <v>0</v>
      </c>
      <c r="AI84" s="59" t="s">
        <v>70</v>
      </c>
      <c r="AJ84" s="55">
        <f t="shared" si="11"/>
        <v>0</v>
      </c>
      <c r="AK84" s="55">
        <f t="shared" si="12"/>
        <v>0</v>
      </c>
      <c r="AL84" s="55">
        <f t="shared" si="13"/>
        <v>0</v>
      </c>
      <c r="AN84" s="36">
        <v>21</v>
      </c>
      <c r="AO84" s="36">
        <f t="shared" si="23"/>
        <v>0</v>
      </c>
      <c r="AP84" s="36">
        <f t="shared" si="24"/>
        <v>0</v>
      </c>
      <c r="AQ84" s="61" t="s">
        <v>105</v>
      </c>
      <c r="AV84" s="36">
        <f t="shared" si="14"/>
        <v>0</v>
      </c>
      <c r="AW84" s="36">
        <f t="shared" si="15"/>
        <v>0</v>
      </c>
      <c r="AX84" s="36">
        <f t="shared" si="16"/>
        <v>0</v>
      </c>
      <c r="AY84" s="62" t="s">
        <v>431</v>
      </c>
      <c r="AZ84" s="62" t="s">
        <v>444</v>
      </c>
      <c r="BA84" s="59" t="s">
        <v>447</v>
      </c>
      <c r="BC84" s="36">
        <f t="shared" si="17"/>
        <v>0</v>
      </c>
      <c r="BD84" s="36">
        <f t="shared" si="18"/>
        <v>0</v>
      </c>
      <c r="BE84" s="36">
        <v>0</v>
      </c>
      <c r="BF84" s="36">
        <f t="shared" si="19"/>
        <v>3.36</v>
      </c>
      <c r="BH84" s="55">
        <f t="shared" si="20"/>
        <v>0</v>
      </c>
      <c r="BI84" s="55">
        <f t="shared" si="21"/>
        <v>0</v>
      </c>
      <c r="BJ84" s="55">
        <f t="shared" si="22"/>
        <v>0</v>
      </c>
    </row>
    <row r="85" spans="1:62" ht="12.75">
      <c r="A85" s="88" t="s">
        <v>144</v>
      </c>
      <c r="B85" s="88" t="s">
        <v>226</v>
      </c>
      <c r="C85" s="187" t="s">
        <v>346</v>
      </c>
      <c r="D85" s="184"/>
      <c r="E85" s="188"/>
      <c r="F85" s="88" t="s">
        <v>398</v>
      </c>
      <c r="G85" s="89">
        <v>0.08</v>
      </c>
      <c r="H85" s="89">
        <v>0</v>
      </c>
      <c r="I85" s="89">
        <f t="shared" si="0"/>
        <v>0</v>
      </c>
      <c r="J85" s="89">
        <f t="shared" si="1"/>
        <v>0</v>
      </c>
      <c r="K85" s="89">
        <f t="shared" si="2"/>
        <v>0</v>
      </c>
      <c r="L85" s="85">
        <f>G85*85</f>
        <v>6.8</v>
      </c>
      <c r="Z85" s="36">
        <f t="shared" si="3"/>
        <v>0</v>
      </c>
      <c r="AB85" s="36">
        <f t="shared" si="4"/>
        <v>0</v>
      </c>
      <c r="AC85" s="36">
        <f t="shared" si="5"/>
        <v>0</v>
      </c>
      <c r="AD85" s="36">
        <f t="shared" si="6"/>
        <v>0</v>
      </c>
      <c r="AE85" s="36">
        <f t="shared" si="7"/>
        <v>0</v>
      </c>
      <c r="AF85" s="36">
        <f t="shared" si="8"/>
        <v>0</v>
      </c>
      <c r="AG85" s="36">
        <f t="shared" si="9"/>
        <v>0</v>
      </c>
      <c r="AH85" s="36">
        <f t="shared" si="10"/>
        <v>0</v>
      </c>
      <c r="AI85" s="59" t="s">
        <v>70</v>
      </c>
      <c r="AJ85" s="55">
        <f t="shared" si="11"/>
        <v>0</v>
      </c>
      <c r="AK85" s="55">
        <f t="shared" si="12"/>
        <v>0</v>
      </c>
      <c r="AL85" s="55">
        <f t="shared" si="13"/>
        <v>0</v>
      </c>
      <c r="AN85" s="36">
        <v>21</v>
      </c>
      <c r="AO85" s="36">
        <f t="shared" si="23"/>
        <v>0</v>
      </c>
      <c r="AP85" s="36">
        <f t="shared" si="24"/>
        <v>0</v>
      </c>
      <c r="AQ85" s="61" t="s">
        <v>105</v>
      </c>
      <c r="AV85" s="36">
        <f t="shared" si="14"/>
        <v>0</v>
      </c>
      <c r="AW85" s="36">
        <f t="shared" si="15"/>
        <v>0</v>
      </c>
      <c r="AX85" s="36">
        <f t="shared" si="16"/>
        <v>0</v>
      </c>
      <c r="AY85" s="62" t="s">
        <v>431</v>
      </c>
      <c r="AZ85" s="62" t="s">
        <v>444</v>
      </c>
      <c r="BA85" s="59" t="s">
        <v>447</v>
      </c>
      <c r="BC85" s="36">
        <f t="shared" si="17"/>
        <v>0</v>
      </c>
      <c r="BD85" s="36">
        <f t="shared" si="18"/>
        <v>0</v>
      </c>
      <c r="BE85" s="36">
        <v>0</v>
      </c>
      <c r="BF85" s="36">
        <f t="shared" si="19"/>
        <v>6.8</v>
      </c>
      <c r="BH85" s="55">
        <f t="shared" si="20"/>
        <v>0</v>
      </c>
      <c r="BI85" s="55">
        <f t="shared" si="21"/>
        <v>0</v>
      </c>
      <c r="BJ85" s="55">
        <f t="shared" si="22"/>
        <v>0</v>
      </c>
    </row>
    <row r="86" spans="1:62" ht="12.75">
      <c r="A86" s="88" t="s">
        <v>145</v>
      </c>
      <c r="B86" s="88" t="s">
        <v>227</v>
      </c>
      <c r="C86" s="187" t="s">
        <v>347</v>
      </c>
      <c r="D86" s="184"/>
      <c r="E86" s="188"/>
      <c r="F86" s="88" t="s">
        <v>398</v>
      </c>
      <c r="G86" s="89">
        <v>0.07</v>
      </c>
      <c r="H86" s="89">
        <v>0</v>
      </c>
      <c r="I86" s="89">
        <f t="shared" si="0"/>
        <v>0</v>
      </c>
      <c r="J86" s="89">
        <f t="shared" si="1"/>
        <v>0</v>
      </c>
      <c r="K86" s="89">
        <f t="shared" si="2"/>
        <v>0</v>
      </c>
      <c r="L86" s="85">
        <f>G86*86</f>
        <v>6.0200000000000005</v>
      </c>
      <c r="Z86" s="36">
        <f t="shared" si="3"/>
        <v>0</v>
      </c>
      <c r="AB86" s="36">
        <f t="shared" si="4"/>
        <v>0</v>
      </c>
      <c r="AC86" s="36">
        <f t="shared" si="5"/>
        <v>0</v>
      </c>
      <c r="AD86" s="36">
        <f t="shared" si="6"/>
        <v>0</v>
      </c>
      <c r="AE86" s="36">
        <f t="shared" si="7"/>
        <v>0</v>
      </c>
      <c r="AF86" s="36">
        <f t="shared" si="8"/>
        <v>0</v>
      </c>
      <c r="AG86" s="36">
        <f t="shared" si="9"/>
        <v>0</v>
      </c>
      <c r="AH86" s="36">
        <f t="shared" si="10"/>
        <v>0</v>
      </c>
      <c r="AI86" s="59" t="s">
        <v>70</v>
      </c>
      <c r="AJ86" s="55">
        <f t="shared" si="11"/>
        <v>0</v>
      </c>
      <c r="AK86" s="55">
        <f t="shared" si="12"/>
        <v>0</v>
      </c>
      <c r="AL86" s="55">
        <f t="shared" si="13"/>
        <v>0</v>
      </c>
      <c r="AN86" s="36">
        <v>21</v>
      </c>
      <c r="AO86" s="36">
        <f t="shared" si="23"/>
        <v>0</v>
      </c>
      <c r="AP86" s="36">
        <f t="shared" si="24"/>
        <v>0</v>
      </c>
      <c r="AQ86" s="61" t="s">
        <v>105</v>
      </c>
      <c r="AV86" s="36">
        <f t="shared" si="14"/>
        <v>0</v>
      </c>
      <c r="AW86" s="36">
        <f t="shared" si="15"/>
        <v>0</v>
      </c>
      <c r="AX86" s="36">
        <f t="shared" si="16"/>
        <v>0</v>
      </c>
      <c r="AY86" s="62" t="s">
        <v>431</v>
      </c>
      <c r="AZ86" s="62" t="s">
        <v>444</v>
      </c>
      <c r="BA86" s="59" t="s">
        <v>447</v>
      </c>
      <c r="BC86" s="36">
        <f t="shared" si="17"/>
        <v>0</v>
      </c>
      <c r="BD86" s="36">
        <f t="shared" si="18"/>
        <v>0</v>
      </c>
      <c r="BE86" s="36">
        <v>0</v>
      </c>
      <c r="BF86" s="36">
        <f t="shared" si="19"/>
        <v>6.0200000000000005</v>
      </c>
      <c r="BH86" s="55">
        <f t="shared" si="20"/>
        <v>0</v>
      </c>
      <c r="BI86" s="55">
        <f t="shared" si="21"/>
        <v>0</v>
      </c>
      <c r="BJ86" s="55">
        <f t="shared" si="22"/>
        <v>0</v>
      </c>
    </row>
    <row r="87" spans="1:62" ht="12.75">
      <c r="A87" s="88" t="s">
        <v>146</v>
      </c>
      <c r="B87" s="88" t="s">
        <v>228</v>
      </c>
      <c r="C87" s="187" t="s">
        <v>348</v>
      </c>
      <c r="D87" s="184"/>
      <c r="E87" s="188"/>
      <c r="F87" s="88" t="s">
        <v>398</v>
      </c>
      <c r="G87" s="89">
        <v>0.06</v>
      </c>
      <c r="H87" s="89">
        <v>0</v>
      </c>
      <c r="I87" s="89">
        <f t="shared" si="0"/>
        <v>0</v>
      </c>
      <c r="J87" s="89">
        <f t="shared" si="1"/>
        <v>0</v>
      </c>
      <c r="K87" s="89">
        <f t="shared" si="2"/>
        <v>0</v>
      </c>
      <c r="L87" s="85">
        <f>G87*87</f>
        <v>5.22</v>
      </c>
      <c r="Z87" s="36">
        <f t="shared" si="3"/>
        <v>0</v>
      </c>
      <c r="AB87" s="36">
        <f t="shared" si="4"/>
        <v>0</v>
      </c>
      <c r="AC87" s="36">
        <f t="shared" si="5"/>
        <v>0</v>
      </c>
      <c r="AD87" s="36">
        <f t="shared" si="6"/>
        <v>0</v>
      </c>
      <c r="AE87" s="36">
        <f t="shared" si="7"/>
        <v>0</v>
      </c>
      <c r="AF87" s="36">
        <f t="shared" si="8"/>
        <v>0</v>
      </c>
      <c r="AG87" s="36">
        <f t="shared" si="9"/>
        <v>0</v>
      </c>
      <c r="AH87" s="36">
        <f t="shared" si="10"/>
        <v>0</v>
      </c>
      <c r="AI87" s="59" t="s">
        <v>70</v>
      </c>
      <c r="AJ87" s="55">
        <f t="shared" si="11"/>
        <v>0</v>
      </c>
      <c r="AK87" s="55">
        <f t="shared" si="12"/>
        <v>0</v>
      </c>
      <c r="AL87" s="55">
        <f t="shared" si="13"/>
        <v>0</v>
      </c>
      <c r="AN87" s="36">
        <v>21</v>
      </c>
      <c r="AO87" s="36">
        <f t="shared" si="23"/>
        <v>0</v>
      </c>
      <c r="AP87" s="36">
        <f t="shared" si="24"/>
        <v>0</v>
      </c>
      <c r="AQ87" s="61" t="s">
        <v>105</v>
      </c>
      <c r="AV87" s="36">
        <f t="shared" si="14"/>
        <v>0</v>
      </c>
      <c r="AW87" s="36">
        <f t="shared" si="15"/>
        <v>0</v>
      </c>
      <c r="AX87" s="36">
        <f t="shared" si="16"/>
        <v>0</v>
      </c>
      <c r="AY87" s="62" t="s">
        <v>431</v>
      </c>
      <c r="AZ87" s="62" t="s">
        <v>444</v>
      </c>
      <c r="BA87" s="59" t="s">
        <v>447</v>
      </c>
      <c r="BC87" s="36">
        <f t="shared" si="17"/>
        <v>0</v>
      </c>
      <c r="BD87" s="36">
        <f t="shared" si="18"/>
        <v>0</v>
      </c>
      <c r="BE87" s="36">
        <v>0</v>
      </c>
      <c r="BF87" s="36">
        <f t="shared" si="19"/>
        <v>5.22</v>
      </c>
      <c r="BH87" s="55">
        <f t="shared" si="20"/>
        <v>0</v>
      </c>
      <c r="BI87" s="55">
        <f t="shared" si="21"/>
        <v>0</v>
      </c>
      <c r="BJ87" s="55">
        <f t="shared" si="22"/>
        <v>0</v>
      </c>
    </row>
    <row r="88" spans="1:62" ht="12.75">
      <c r="A88" s="88" t="s">
        <v>147</v>
      </c>
      <c r="B88" s="88" t="s">
        <v>229</v>
      </c>
      <c r="C88" s="187" t="s">
        <v>349</v>
      </c>
      <c r="D88" s="184"/>
      <c r="E88" s="188"/>
      <c r="F88" s="88" t="s">
        <v>396</v>
      </c>
      <c r="G88" s="89">
        <v>133.31</v>
      </c>
      <c r="H88" s="89">
        <v>0</v>
      </c>
      <c r="I88" s="89">
        <f t="shared" si="0"/>
        <v>0</v>
      </c>
      <c r="J88" s="89">
        <f t="shared" si="1"/>
        <v>0</v>
      </c>
      <c r="K88" s="89">
        <f t="shared" si="2"/>
        <v>0</v>
      </c>
      <c r="L88" s="85">
        <f>G88*88</f>
        <v>11731.28</v>
      </c>
      <c r="Z88" s="36">
        <f t="shared" si="3"/>
        <v>0</v>
      </c>
      <c r="AB88" s="36">
        <f t="shared" si="4"/>
        <v>0</v>
      </c>
      <c r="AC88" s="36">
        <f t="shared" si="5"/>
        <v>0</v>
      </c>
      <c r="AD88" s="36">
        <f t="shared" si="6"/>
        <v>0</v>
      </c>
      <c r="AE88" s="36">
        <f t="shared" si="7"/>
        <v>0</v>
      </c>
      <c r="AF88" s="36">
        <f t="shared" si="8"/>
        <v>0</v>
      </c>
      <c r="AG88" s="36">
        <f t="shared" si="9"/>
        <v>0</v>
      </c>
      <c r="AH88" s="36">
        <f t="shared" si="10"/>
        <v>0</v>
      </c>
      <c r="AI88" s="59" t="s">
        <v>70</v>
      </c>
      <c r="AJ88" s="55">
        <f t="shared" si="11"/>
        <v>0</v>
      </c>
      <c r="AK88" s="55">
        <f t="shared" si="12"/>
        <v>0</v>
      </c>
      <c r="AL88" s="55">
        <f t="shared" si="13"/>
        <v>0</v>
      </c>
      <c r="AN88" s="36">
        <v>21</v>
      </c>
      <c r="AO88" s="36">
        <f t="shared" si="23"/>
        <v>0</v>
      </c>
      <c r="AP88" s="36">
        <f t="shared" si="24"/>
        <v>0</v>
      </c>
      <c r="AQ88" s="61" t="s">
        <v>105</v>
      </c>
      <c r="AV88" s="36">
        <f t="shared" si="14"/>
        <v>0</v>
      </c>
      <c r="AW88" s="36">
        <f t="shared" si="15"/>
        <v>0</v>
      </c>
      <c r="AX88" s="36">
        <f t="shared" si="16"/>
        <v>0</v>
      </c>
      <c r="AY88" s="62" t="s">
        <v>431</v>
      </c>
      <c r="AZ88" s="62" t="s">
        <v>444</v>
      </c>
      <c r="BA88" s="59" t="s">
        <v>447</v>
      </c>
      <c r="BC88" s="36">
        <f t="shared" si="17"/>
        <v>0</v>
      </c>
      <c r="BD88" s="36">
        <f t="shared" si="18"/>
        <v>0</v>
      </c>
      <c r="BE88" s="36">
        <v>0</v>
      </c>
      <c r="BF88" s="36">
        <f t="shared" si="19"/>
        <v>11731.28</v>
      </c>
      <c r="BH88" s="55">
        <f t="shared" si="20"/>
        <v>0</v>
      </c>
      <c r="BI88" s="55">
        <f t="shared" si="21"/>
        <v>0</v>
      </c>
      <c r="BJ88" s="55">
        <f t="shared" si="22"/>
        <v>0</v>
      </c>
    </row>
    <row r="89" spans="1:62" ht="12.75">
      <c r="A89" s="88" t="s">
        <v>148</v>
      </c>
      <c r="B89" s="88" t="s">
        <v>230</v>
      </c>
      <c r="C89" s="187" t="s">
        <v>350</v>
      </c>
      <c r="D89" s="184"/>
      <c r="E89" s="188"/>
      <c r="F89" s="88" t="s">
        <v>398</v>
      </c>
      <c r="G89" s="89">
        <v>0.02</v>
      </c>
      <c r="H89" s="89">
        <v>0</v>
      </c>
      <c r="I89" s="89">
        <f t="shared" si="0"/>
        <v>0</v>
      </c>
      <c r="J89" s="89">
        <f t="shared" si="1"/>
        <v>0</v>
      </c>
      <c r="K89" s="89">
        <f t="shared" si="2"/>
        <v>0</v>
      </c>
      <c r="L89" s="85">
        <f>G89*89</f>
        <v>1.78</v>
      </c>
      <c r="Z89" s="36">
        <f t="shared" si="3"/>
        <v>0</v>
      </c>
      <c r="AB89" s="36">
        <f t="shared" si="4"/>
        <v>0</v>
      </c>
      <c r="AC89" s="36">
        <f t="shared" si="5"/>
        <v>0</v>
      </c>
      <c r="AD89" s="36">
        <f t="shared" si="6"/>
        <v>0</v>
      </c>
      <c r="AE89" s="36">
        <f t="shared" si="7"/>
        <v>0</v>
      </c>
      <c r="AF89" s="36">
        <f t="shared" si="8"/>
        <v>0</v>
      </c>
      <c r="AG89" s="36">
        <f t="shared" si="9"/>
        <v>0</v>
      </c>
      <c r="AH89" s="36">
        <f t="shared" si="10"/>
        <v>0</v>
      </c>
      <c r="AI89" s="59" t="s">
        <v>70</v>
      </c>
      <c r="AJ89" s="55">
        <f t="shared" si="11"/>
        <v>0</v>
      </c>
      <c r="AK89" s="55">
        <f t="shared" si="12"/>
        <v>0</v>
      </c>
      <c r="AL89" s="55">
        <f t="shared" si="13"/>
        <v>0</v>
      </c>
      <c r="AN89" s="36">
        <v>21</v>
      </c>
      <c r="AO89" s="36">
        <f t="shared" si="23"/>
        <v>0</v>
      </c>
      <c r="AP89" s="36">
        <f t="shared" si="24"/>
        <v>0</v>
      </c>
      <c r="AQ89" s="61" t="s">
        <v>105</v>
      </c>
      <c r="AV89" s="36">
        <f t="shared" si="14"/>
        <v>0</v>
      </c>
      <c r="AW89" s="36">
        <f t="shared" si="15"/>
        <v>0</v>
      </c>
      <c r="AX89" s="36">
        <f t="shared" si="16"/>
        <v>0</v>
      </c>
      <c r="AY89" s="62" t="s">
        <v>431</v>
      </c>
      <c r="AZ89" s="62" t="s">
        <v>444</v>
      </c>
      <c r="BA89" s="59" t="s">
        <v>447</v>
      </c>
      <c r="BC89" s="36">
        <f t="shared" si="17"/>
        <v>0</v>
      </c>
      <c r="BD89" s="36">
        <f t="shared" si="18"/>
        <v>0</v>
      </c>
      <c r="BE89" s="36">
        <v>0</v>
      </c>
      <c r="BF89" s="36">
        <f t="shared" si="19"/>
        <v>1.78</v>
      </c>
      <c r="BH89" s="55">
        <f t="shared" si="20"/>
        <v>0</v>
      </c>
      <c r="BI89" s="55">
        <f t="shared" si="21"/>
        <v>0</v>
      </c>
      <c r="BJ89" s="55">
        <f t="shared" si="22"/>
        <v>0</v>
      </c>
    </row>
    <row r="90" spans="1:62" ht="12.75">
      <c r="A90" s="88" t="s">
        <v>149</v>
      </c>
      <c r="B90" s="88" t="s">
        <v>231</v>
      </c>
      <c r="C90" s="187" t="s">
        <v>351</v>
      </c>
      <c r="D90" s="184"/>
      <c r="E90" s="188"/>
      <c r="F90" s="88" t="s">
        <v>398</v>
      </c>
      <c r="G90" s="89">
        <v>0.01</v>
      </c>
      <c r="H90" s="89">
        <v>0</v>
      </c>
      <c r="I90" s="89">
        <f t="shared" si="0"/>
        <v>0</v>
      </c>
      <c r="J90" s="89">
        <f t="shared" si="1"/>
        <v>0</v>
      </c>
      <c r="K90" s="89">
        <f t="shared" si="2"/>
        <v>0</v>
      </c>
      <c r="L90" s="85">
        <f>G90*90</f>
        <v>0.9</v>
      </c>
      <c r="Z90" s="36">
        <f t="shared" si="3"/>
        <v>0</v>
      </c>
      <c r="AB90" s="36">
        <f t="shared" si="4"/>
        <v>0</v>
      </c>
      <c r="AC90" s="36">
        <f t="shared" si="5"/>
        <v>0</v>
      </c>
      <c r="AD90" s="36">
        <f t="shared" si="6"/>
        <v>0</v>
      </c>
      <c r="AE90" s="36">
        <f t="shared" si="7"/>
        <v>0</v>
      </c>
      <c r="AF90" s="36">
        <f t="shared" si="8"/>
        <v>0</v>
      </c>
      <c r="AG90" s="36">
        <f t="shared" si="9"/>
        <v>0</v>
      </c>
      <c r="AH90" s="36">
        <f t="shared" si="10"/>
        <v>0</v>
      </c>
      <c r="AI90" s="59" t="s">
        <v>70</v>
      </c>
      <c r="AJ90" s="55">
        <f t="shared" si="11"/>
        <v>0</v>
      </c>
      <c r="AK90" s="55">
        <f t="shared" si="12"/>
        <v>0</v>
      </c>
      <c r="AL90" s="55">
        <f t="shared" si="13"/>
        <v>0</v>
      </c>
      <c r="AN90" s="36">
        <v>21</v>
      </c>
      <c r="AO90" s="36">
        <f t="shared" si="23"/>
        <v>0</v>
      </c>
      <c r="AP90" s="36">
        <f t="shared" si="24"/>
        <v>0</v>
      </c>
      <c r="AQ90" s="61" t="s">
        <v>105</v>
      </c>
      <c r="AV90" s="36">
        <f t="shared" si="14"/>
        <v>0</v>
      </c>
      <c r="AW90" s="36">
        <f t="shared" si="15"/>
        <v>0</v>
      </c>
      <c r="AX90" s="36">
        <f t="shared" si="16"/>
        <v>0</v>
      </c>
      <c r="AY90" s="62" t="s">
        <v>431</v>
      </c>
      <c r="AZ90" s="62" t="s">
        <v>444</v>
      </c>
      <c r="BA90" s="59" t="s">
        <v>447</v>
      </c>
      <c r="BC90" s="36">
        <f t="shared" si="17"/>
        <v>0</v>
      </c>
      <c r="BD90" s="36">
        <f t="shared" si="18"/>
        <v>0</v>
      </c>
      <c r="BE90" s="36">
        <v>0</v>
      </c>
      <c r="BF90" s="36">
        <f t="shared" si="19"/>
        <v>0.9</v>
      </c>
      <c r="BH90" s="55">
        <f t="shared" si="20"/>
        <v>0</v>
      </c>
      <c r="BI90" s="55">
        <f t="shared" si="21"/>
        <v>0</v>
      </c>
      <c r="BJ90" s="55">
        <f t="shared" si="22"/>
        <v>0</v>
      </c>
    </row>
    <row r="91" spans="1:62" ht="12.75">
      <c r="A91" s="88" t="s">
        <v>150</v>
      </c>
      <c r="B91" s="88" t="s">
        <v>232</v>
      </c>
      <c r="C91" s="187" t="s">
        <v>352</v>
      </c>
      <c r="D91" s="184"/>
      <c r="E91" s="188"/>
      <c r="F91" s="88" t="s">
        <v>399</v>
      </c>
      <c r="G91" s="89">
        <v>8</v>
      </c>
      <c r="H91" s="89">
        <v>0</v>
      </c>
      <c r="I91" s="89">
        <f t="shared" si="0"/>
        <v>0</v>
      </c>
      <c r="J91" s="89">
        <f t="shared" si="1"/>
        <v>0</v>
      </c>
      <c r="K91" s="89">
        <f t="shared" si="2"/>
        <v>0</v>
      </c>
      <c r="L91" s="85">
        <f>G91*91</f>
        <v>728</v>
      </c>
      <c r="Z91" s="36">
        <f t="shared" si="3"/>
        <v>0</v>
      </c>
      <c r="AB91" s="36">
        <f t="shared" si="4"/>
        <v>0</v>
      </c>
      <c r="AC91" s="36">
        <f t="shared" si="5"/>
        <v>0</v>
      </c>
      <c r="AD91" s="36">
        <f t="shared" si="6"/>
        <v>0</v>
      </c>
      <c r="AE91" s="36">
        <f t="shared" si="7"/>
        <v>0</v>
      </c>
      <c r="AF91" s="36">
        <f t="shared" si="8"/>
        <v>0</v>
      </c>
      <c r="AG91" s="36">
        <f t="shared" si="9"/>
        <v>0</v>
      </c>
      <c r="AH91" s="36">
        <f t="shared" si="10"/>
        <v>0</v>
      </c>
      <c r="AI91" s="59" t="s">
        <v>70</v>
      </c>
      <c r="AJ91" s="55">
        <f t="shared" si="11"/>
        <v>0</v>
      </c>
      <c r="AK91" s="55">
        <f t="shared" si="12"/>
        <v>0</v>
      </c>
      <c r="AL91" s="55">
        <f t="shared" si="13"/>
        <v>0</v>
      </c>
      <c r="AN91" s="36">
        <v>21</v>
      </c>
      <c r="AO91" s="36">
        <f t="shared" si="23"/>
        <v>0</v>
      </c>
      <c r="AP91" s="36">
        <f t="shared" si="24"/>
        <v>0</v>
      </c>
      <c r="AQ91" s="61" t="s">
        <v>105</v>
      </c>
      <c r="AV91" s="36">
        <f t="shared" si="14"/>
        <v>0</v>
      </c>
      <c r="AW91" s="36">
        <f t="shared" si="15"/>
        <v>0</v>
      </c>
      <c r="AX91" s="36">
        <f t="shared" si="16"/>
        <v>0</v>
      </c>
      <c r="AY91" s="62" t="s">
        <v>431</v>
      </c>
      <c r="AZ91" s="62" t="s">
        <v>444</v>
      </c>
      <c r="BA91" s="59" t="s">
        <v>447</v>
      </c>
      <c r="BC91" s="36">
        <f t="shared" si="17"/>
        <v>0</v>
      </c>
      <c r="BD91" s="36">
        <f t="shared" si="18"/>
        <v>0</v>
      </c>
      <c r="BE91" s="36">
        <v>0</v>
      </c>
      <c r="BF91" s="36">
        <f t="shared" si="19"/>
        <v>728</v>
      </c>
      <c r="BH91" s="55">
        <f t="shared" si="20"/>
        <v>0</v>
      </c>
      <c r="BI91" s="55">
        <f t="shared" si="21"/>
        <v>0</v>
      </c>
      <c r="BJ91" s="55">
        <f t="shared" si="22"/>
        <v>0</v>
      </c>
    </row>
    <row r="92" spans="1:62" ht="12.75">
      <c r="A92" s="77" t="s">
        <v>151</v>
      </c>
      <c r="B92" s="77" t="s">
        <v>233</v>
      </c>
      <c r="C92" s="174" t="s">
        <v>353</v>
      </c>
      <c r="D92" s="172"/>
      <c r="E92" s="175"/>
      <c r="F92" s="77" t="s">
        <v>399</v>
      </c>
      <c r="G92" s="80">
        <v>131</v>
      </c>
      <c r="H92" s="80">
        <v>0</v>
      </c>
      <c r="I92" s="80">
        <f t="shared" si="0"/>
        <v>0</v>
      </c>
      <c r="J92" s="80">
        <f t="shared" si="1"/>
        <v>0</v>
      </c>
      <c r="K92" s="80">
        <f t="shared" si="2"/>
        <v>0</v>
      </c>
      <c r="L92" s="79">
        <f>G92*92</f>
        <v>12052</v>
      </c>
      <c r="Z92" s="36">
        <f t="shared" si="3"/>
        <v>0</v>
      </c>
      <c r="AB92" s="36">
        <f t="shared" si="4"/>
        <v>0</v>
      </c>
      <c r="AC92" s="36">
        <f t="shared" si="5"/>
        <v>0</v>
      </c>
      <c r="AD92" s="36">
        <f t="shared" si="6"/>
        <v>0</v>
      </c>
      <c r="AE92" s="36">
        <f t="shared" si="7"/>
        <v>0</v>
      </c>
      <c r="AF92" s="36">
        <f t="shared" si="8"/>
        <v>0</v>
      </c>
      <c r="AG92" s="36">
        <f t="shared" si="9"/>
        <v>0</v>
      </c>
      <c r="AH92" s="36">
        <f t="shared" si="10"/>
        <v>0</v>
      </c>
      <c r="AI92" s="59" t="s">
        <v>70</v>
      </c>
      <c r="AJ92" s="54">
        <f t="shared" si="11"/>
        <v>0</v>
      </c>
      <c r="AK92" s="54">
        <f t="shared" si="12"/>
        <v>0</v>
      </c>
      <c r="AL92" s="54">
        <f t="shared" si="13"/>
        <v>0</v>
      </c>
      <c r="AN92" s="36">
        <v>21</v>
      </c>
      <c r="AO92" s="36">
        <f>H92*0.193540669856459</f>
        <v>0</v>
      </c>
      <c r="AP92" s="36">
        <f>H92*(1-0.193540669856459)</f>
        <v>0</v>
      </c>
      <c r="AQ92" s="60" t="s">
        <v>105</v>
      </c>
      <c r="AV92" s="36">
        <f t="shared" si="14"/>
        <v>0</v>
      </c>
      <c r="AW92" s="36">
        <f t="shared" si="15"/>
        <v>0</v>
      </c>
      <c r="AX92" s="36">
        <f t="shared" si="16"/>
        <v>0</v>
      </c>
      <c r="AY92" s="62" t="s">
        <v>431</v>
      </c>
      <c r="AZ92" s="62" t="s">
        <v>444</v>
      </c>
      <c r="BA92" s="59" t="s">
        <v>447</v>
      </c>
      <c r="BC92" s="36">
        <f t="shared" si="17"/>
        <v>0</v>
      </c>
      <c r="BD92" s="36">
        <f t="shared" si="18"/>
        <v>0</v>
      </c>
      <c r="BE92" s="36">
        <v>0</v>
      </c>
      <c r="BF92" s="36">
        <f t="shared" si="19"/>
        <v>12052</v>
      </c>
      <c r="BH92" s="54">
        <f t="shared" si="20"/>
        <v>0</v>
      </c>
      <c r="BI92" s="54">
        <f t="shared" si="21"/>
        <v>0</v>
      </c>
      <c r="BJ92" s="54">
        <f t="shared" si="22"/>
        <v>0</v>
      </c>
    </row>
    <row r="93" spans="1:62" ht="12.75">
      <c r="A93" s="48" t="s">
        <v>152</v>
      </c>
      <c r="B93" s="48" t="s">
        <v>234</v>
      </c>
      <c r="C93" s="183" t="s">
        <v>354</v>
      </c>
      <c r="D93" s="184"/>
      <c r="E93" s="184"/>
      <c r="F93" s="48" t="s">
        <v>400</v>
      </c>
      <c r="G93" s="55">
        <v>2</v>
      </c>
      <c r="H93" s="55">
        <v>0</v>
      </c>
      <c r="I93" s="55">
        <f t="shared" si="0"/>
        <v>0</v>
      </c>
      <c r="J93" s="55">
        <f t="shared" si="1"/>
        <v>0</v>
      </c>
      <c r="K93" s="55">
        <f t="shared" si="2"/>
        <v>0</v>
      </c>
      <c r="L93" s="55">
        <f>G93*93</f>
        <v>186</v>
      </c>
      <c r="Z93" s="36">
        <f t="shared" si="3"/>
        <v>0</v>
      </c>
      <c r="AB93" s="36">
        <f t="shared" si="4"/>
        <v>0</v>
      </c>
      <c r="AC93" s="36">
        <f t="shared" si="5"/>
        <v>0</v>
      </c>
      <c r="AD93" s="36">
        <f t="shared" si="6"/>
        <v>0</v>
      </c>
      <c r="AE93" s="36">
        <f t="shared" si="7"/>
        <v>0</v>
      </c>
      <c r="AF93" s="36">
        <f t="shared" si="8"/>
        <v>0</v>
      </c>
      <c r="AG93" s="36">
        <f t="shared" si="9"/>
        <v>0</v>
      </c>
      <c r="AH93" s="36">
        <f t="shared" si="10"/>
        <v>0</v>
      </c>
      <c r="AI93" s="59" t="s">
        <v>70</v>
      </c>
      <c r="AJ93" s="55">
        <f t="shared" si="11"/>
        <v>0</v>
      </c>
      <c r="AK93" s="55">
        <f t="shared" si="12"/>
        <v>0</v>
      </c>
      <c r="AL93" s="55">
        <f t="shared" si="13"/>
        <v>0</v>
      </c>
      <c r="AN93" s="36">
        <v>21</v>
      </c>
      <c r="AO93" s="36">
        <f aca="true" t="shared" si="25" ref="AO93:AO101">H93*1</f>
        <v>0</v>
      </c>
      <c r="AP93" s="36">
        <f aca="true" t="shared" si="26" ref="AP93:AP101">H93*(1-1)</f>
        <v>0</v>
      </c>
      <c r="AQ93" s="61" t="s">
        <v>105</v>
      </c>
      <c r="AV93" s="36">
        <f t="shared" si="14"/>
        <v>0</v>
      </c>
      <c r="AW93" s="36">
        <f t="shared" si="15"/>
        <v>0</v>
      </c>
      <c r="AX93" s="36">
        <f t="shared" si="16"/>
        <v>0</v>
      </c>
      <c r="AY93" s="62" t="s">
        <v>431</v>
      </c>
      <c r="AZ93" s="62" t="s">
        <v>444</v>
      </c>
      <c r="BA93" s="59" t="s">
        <v>447</v>
      </c>
      <c r="BC93" s="36">
        <f t="shared" si="17"/>
        <v>0</v>
      </c>
      <c r="BD93" s="36">
        <f t="shared" si="18"/>
        <v>0</v>
      </c>
      <c r="BE93" s="36">
        <v>0</v>
      </c>
      <c r="BF93" s="36">
        <f t="shared" si="19"/>
        <v>186</v>
      </c>
      <c r="BH93" s="55">
        <f t="shared" si="20"/>
        <v>0</v>
      </c>
      <c r="BI93" s="55">
        <f t="shared" si="21"/>
        <v>0</v>
      </c>
      <c r="BJ93" s="55">
        <f t="shared" si="22"/>
        <v>0</v>
      </c>
    </row>
    <row r="94" spans="1:62" ht="12.75">
      <c r="A94" s="48" t="s">
        <v>153</v>
      </c>
      <c r="B94" s="48" t="s">
        <v>235</v>
      </c>
      <c r="C94" s="183" t="s">
        <v>355</v>
      </c>
      <c r="D94" s="184"/>
      <c r="E94" s="184"/>
      <c r="F94" s="48" t="s">
        <v>398</v>
      </c>
      <c r="G94" s="55">
        <v>0.01</v>
      </c>
      <c r="H94" s="55">
        <v>0</v>
      </c>
      <c r="I94" s="55">
        <f t="shared" si="0"/>
        <v>0</v>
      </c>
      <c r="J94" s="55">
        <f t="shared" si="1"/>
        <v>0</v>
      </c>
      <c r="K94" s="55">
        <f t="shared" si="2"/>
        <v>0</v>
      </c>
      <c r="L94" s="55">
        <f>G94*94</f>
        <v>0.9400000000000001</v>
      </c>
      <c r="Z94" s="36">
        <f t="shared" si="3"/>
        <v>0</v>
      </c>
      <c r="AB94" s="36">
        <f t="shared" si="4"/>
        <v>0</v>
      </c>
      <c r="AC94" s="36">
        <f t="shared" si="5"/>
        <v>0</v>
      </c>
      <c r="AD94" s="36">
        <f t="shared" si="6"/>
        <v>0</v>
      </c>
      <c r="AE94" s="36">
        <f t="shared" si="7"/>
        <v>0</v>
      </c>
      <c r="AF94" s="36">
        <f t="shared" si="8"/>
        <v>0</v>
      </c>
      <c r="AG94" s="36">
        <f t="shared" si="9"/>
        <v>0</v>
      </c>
      <c r="AH94" s="36">
        <f t="shared" si="10"/>
        <v>0</v>
      </c>
      <c r="AI94" s="59" t="s">
        <v>70</v>
      </c>
      <c r="AJ94" s="55">
        <f t="shared" si="11"/>
        <v>0</v>
      </c>
      <c r="AK94" s="55">
        <f t="shared" si="12"/>
        <v>0</v>
      </c>
      <c r="AL94" s="55">
        <f t="shared" si="13"/>
        <v>0</v>
      </c>
      <c r="AN94" s="36">
        <v>21</v>
      </c>
      <c r="AO94" s="36">
        <f t="shared" si="25"/>
        <v>0</v>
      </c>
      <c r="AP94" s="36">
        <f t="shared" si="26"/>
        <v>0</v>
      </c>
      <c r="AQ94" s="61" t="s">
        <v>105</v>
      </c>
      <c r="AV94" s="36">
        <f t="shared" si="14"/>
        <v>0</v>
      </c>
      <c r="AW94" s="36">
        <f t="shared" si="15"/>
        <v>0</v>
      </c>
      <c r="AX94" s="36">
        <f t="shared" si="16"/>
        <v>0</v>
      </c>
      <c r="AY94" s="62" t="s">
        <v>431</v>
      </c>
      <c r="AZ94" s="62" t="s">
        <v>444</v>
      </c>
      <c r="BA94" s="59" t="s">
        <v>447</v>
      </c>
      <c r="BC94" s="36">
        <f t="shared" si="17"/>
        <v>0</v>
      </c>
      <c r="BD94" s="36">
        <f t="shared" si="18"/>
        <v>0</v>
      </c>
      <c r="BE94" s="36">
        <v>0</v>
      </c>
      <c r="BF94" s="36">
        <f t="shared" si="19"/>
        <v>0.9400000000000001</v>
      </c>
      <c r="BH94" s="55">
        <f t="shared" si="20"/>
        <v>0</v>
      </c>
      <c r="BI94" s="55">
        <f t="shared" si="21"/>
        <v>0</v>
      </c>
      <c r="BJ94" s="55">
        <f t="shared" si="22"/>
        <v>0</v>
      </c>
    </row>
    <row r="95" spans="1:62" ht="12.75">
      <c r="A95" s="48" t="s">
        <v>154</v>
      </c>
      <c r="B95" s="48" t="s">
        <v>236</v>
      </c>
      <c r="C95" s="183" t="s">
        <v>356</v>
      </c>
      <c r="D95" s="184"/>
      <c r="E95" s="184"/>
      <c r="F95" s="48" t="s">
        <v>399</v>
      </c>
      <c r="G95" s="55">
        <v>8</v>
      </c>
      <c r="H95" s="55">
        <v>0</v>
      </c>
      <c r="I95" s="55">
        <f t="shared" si="0"/>
        <v>0</v>
      </c>
      <c r="J95" s="55">
        <f t="shared" si="1"/>
        <v>0</v>
      </c>
      <c r="K95" s="55">
        <f t="shared" si="2"/>
        <v>0</v>
      </c>
      <c r="L95" s="55">
        <f>G95*95</f>
        <v>760</v>
      </c>
      <c r="Z95" s="36">
        <f t="shared" si="3"/>
        <v>0</v>
      </c>
      <c r="AB95" s="36">
        <f t="shared" si="4"/>
        <v>0</v>
      </c>
      <c r="AC95" s="36">
        <f t="shared" si="5"/>
        <v>0</v>
      </c>
      <c r="AD95" s="36">
        <f t="shared" si="6"/>
        <v>0</v>
      </c>
      <c r="AE95" s="36">
        <f t="shared" si="7"/>
        <v>0</v>
      </c>
      <c r="AF95" s="36">
        <f t="shared" si="8"/>
        <v>0</v>
      </c>
      <c r="AG95" s="36">
        <f t="shared" si="9"/>
        <v>0</v>
      </c>
      <c r="AH95" s="36">
        <f t="shared" si="10"/>
        <v>0</v>
      </c>
      <c r="AI95" s="59" t="s">
        <v>70</v>
      </c>
      <c r="AJ95" s="55">
        <f t="shared" si="11"/>
        <v>0</v>
      </c>
      <c r="AK95" s="55">
        <f t="shared" si="12"/>
        <v>0</v>
      </c>
      <c r="AL95" s="55">
        <f t="shared" si="13"/>
        <v>0</v>
      </c>
      <c r="AN95" s="36">
        <v>21</v>
      </c>
      <c r="AO95" s="36">
        <f t="shared" si="25"/>
        <v>0</v>
      </c>
      <c r="AP95" s="36">
        <f t="shared" si="26"/>
        <v>0</v>
      </c>
      <c r="AQ95" s="61" t="s">
        <v>105</v>
      </c>
      <c r="AV95" s="36">
        <f t="shared" si="14"/>
        <v>0</v>
      </c>
      <c r="AW95" s="36">
        <f t="shared" si="15"/>
        <v>0</v>
      </c>
      <c r="AX95" s="36">
        <f t="shared" si="16"/>
        <v>0</v>
      </c>
      <c r="AY95" s="62" t="s">
        <v>431</v>
      </c>
      <c r="AZ95" s="62" t="s">
        <v>444</v>
      </c>
      <c r="BA95" s="59" t="s">
        <v>447</v>
      </c>
      <c r="BC95" s="36">
        <f t="shared" si="17"/>
        <v>0</v>
      </c>
      <c r="BD95" s="36">
        <f t="shared" si="18"/>
        <v>0</v>
      </c>
      <c r="BE95" s="36">
        <v>0</v>
      </c>
      <c r="BF95" s="36">
        <f t="shared" si="19"/>
        <v>760</v>
      </c>
      <c r="BH95" s="55">
        <f t="shared" si="20"/>
        <v>0</v>
      </c>
      <c r="BI95" s="55">
        <f t="shared" si="21"/>
        <v>0</v>
      </c>
      <c r="BJ95" s="55">
        <f t="shared" si="22"/>
        <v>0</v>
      </c>
    </row>
    <row r="96" spans="1:62" ht="12.75">
      <c r="A96" s="48" t="s">
        <v>155</v>
      </c>
      <c r="B96" s="48" t="s">
        <v>237</v>
      </c>
      <c r="C96" s="183" t="s">
        <v>357</v>
      </c>
      <c r="D96" s="184"/>
      <c r="E96" s="184"/>
      <c r="F96" s="48" t="s">
        <v>399</v>
      </c>
      <c r="G96" s="55">
        <v>8</v>
      </c>
      <c r="H96" s="55">
        <v>0</v>
      </c>
      <c r="I96" s="55">
        <f t="shared" si="0"/>
        <v>0</v>
      </c>
      <c r="J96" s="55">
        <f t="shared" si="1"/>
        <v>0</v>
      </c>
      <c r="K96" s="55">
        <f t="shared" si="2"/>
        <v>0</v>
      </c>
      <c r="L96" s="55">
        <f>G96*96</f>
        <v>768</v>
      </c>
      <c r="Z96" s="36">
        <f t="shared" si="3"/>
        <v>0</v>
      </c>
      <c r="AB96" s="36">
        <f t="shared" si="4"/>
        <v>0</v>
      </c>
      <c r="AC96" s="36">
        <f t="shared" si="5"/>
        <v>0</v>
      </c>
      <c r="AD96" s="36">
        <f t="shared" si="6"/>
        <v>0</v>
      </c>
      <c r="AE96" s="36">
        <f t="shared" si="7"/>
        <v>0</v>
      </c>
      <c r="AF96" s="36">
        <f t="shared" si="8"/>
        <v>0</v>
      </c>
      <c r="AG96" s="36">
        <f t="shared" si="9"/>
        <v>0</v>
      </c>
      <c r="AH96" s="36">
        <f t="shared" si="10"/>
        <v>0</v>
      </c>
      <c r="AI96" s="59" t="s">
        <v>70</v>
      </c>
      <c r="AJ96" s="55">
        <f t="shared" si="11"/>
        <v>0</v>
      </c>
      <c r="AK96" s="55">
        <f t="shared" si="12"/>
        <v>0</v>
      </c>
      <c r="AL96" s="55">
        <f t="shared" si="13"/>
        <v>0</v>
      </c>
      <c r="AN96" s="36">
        <v>21</v>
      </c>
      <c r="AO96" s="36">
        <f t="shared" si="25"/>
        <v>0</v>
      </c>
      <c r="AP96" s="36">
        <f t="shared" si="26"/>
        <v>0</v>
      </c>
      <c r="AQ96" s="61" t="s">
        <v>105</v>
      </c>
      <c r="AV96" s="36">
        <f t="shared" si="14"/>
        <v>0</v>
      </c>
      <c r="AW96" s="36">
        <f t="shared" si="15"/>
        <v>0</v>
      </c>
      <c r="AX96" s="36">
        <f t="shared" si="16"/>
        <v>0</v>
      </c>
      <c r="AY96" s="62" t="s">
        <v>431</v>
      </c>
      <c r="AZ96" s="62" t="s">
        <v>444</v>
      </c>
      <c r="BA96" s="59" t="s">
        <v>447</v>
      </c>
      <c r="BC96" s="36">
        <f t="shared" si="17"/>
        <v>0</v>
      </c>
      <c r="BD96" s="36">
        <f t="shared" si="18"/>
        <v>0</v>
      </c>
      <c r="BE96" s="36">
        <v>0</v>
      </c>
      <c r="BF96" s="36">
        <f t="shared" si="19"/>
        <v>768</v>
      </c>
      <c r="BH96" s="55">
        <f t="shared" si="20"/>
        <v>0</v>
      </c>
      <c r="BI96" s="55">
        <f t="shared" si="21"/>
        <v>0</v>
      </c>
      <c r="BJ96" s="55">
        <f t="shared" si="22"/>
        <v>0</v>
      </c>
    </row>
    <row r="97" spans="1:62" ht="12.75">
      <c r="A97" s="88" t="s">
        <v>156</v>
      </c>
      <c r="B97" s="88" t="s">
        <v>238</v>
      </c>
      <c r="C97" s="187" t="s">
        <v>358</v>
      </c>
      <c r="D97" s="184"/>
      <c r="E97" s="188"/>
      <c r="F97" s="88" t="s">
        <v>400</v>
      </c>
      <c r="G97" s="89">
        <v>31.19</v>
      </c>
      <c r="H97" s="89">
        <v>0</v>
      </c>
      <c r="I97" s="89">
        <f t="shared" si="0"/>
        <v>0</v>
      </c>
      <c r="J97" s="89">
        <f t="shared" si="1"/>
        <v>0</v>
      </c>
      <c r="K97" s="89">
        <f t="shared" si="2"/>
        <v>0</v>
      </c>
      <c r="L97" s="85">
        <f>G97*97</f>
        <v>3025.4300000000003</v>
      </c>
      <c r="Z97" s="36">
        <f t="shared" si="3"/>
        <v>0</v>
      </c>
      <c r="AB97" s="36">
        <f t="shared" si="4"/>
        <v>0</v>
      </c>
      <c r="AC97" s="36">
        <f t="shared" si="5"/>
        <v>0</v>
      </c>
      <c r="AD97" s="36">
        <f t="shared" si="6"/>
        <v>0</v>
      </c>
      <c r="AE97" s="36">
        <f t="shared" si="7"/>
        <v>0</v>
      </c>
      <c r="AF97" s="36">
        <f t="shared" si="8"/>
        <v>0</v>
      </c>
      <c r="AG97" s="36">
        <f t="shared" si="9"/>
        <v>0</v>
      </c>
      <c r="AH97" s="36">
        <f t="shared" si="10"/>
        <v>0</v>
      </c>
      <c r="AI97" s="59" t="s">
        <v>70</v>
      </c>
      <c r="AJ97" s="55">
        <f t="shared" si="11"/>
        <v>0</v>
      </c>
      <c r="AK97" s="55">
        <f t="shared" si="12"/>
        <v>0</v>
      </c>
      <c r="AL97" s="55">
        <f t="shared" si="13"/>
        <v>0</v>
      </c>
      <c r="AN97" s="36">
        <v>21</v>
      </c>
      <c r="AO97" s="36">
        <f t="shared" si="25"/>
        <v>0</v>
      </c>
      <c r="AP97" s="36">
        <f t="shared" si="26"/>
        <v>0</v>
      </c>
      <c r="AQ97" s="61" t="s">
        <v>105</v>
      </c>
      <c r="AV97" s="36">
        <f t="shared" si="14"/>
        <v>0</v>
      </c>
      <c r="AW97" s="36">
        <f t="shared" si="15"/>
        <v>0</v>
      </c>
      <c r="AX97" s="36">
        <f t="shared" si="16"/>
        <v>0</v>
      </c>
      <c r="AY97" s="62" t="s">
        <v>431</v>
      </c>
      <c r="AZ97" s="62" t="s">
        <v>444</v>
      </c>
      <c r="BA97" s="59" t="s">
        <v>447</v>
      </c>
      <c r="BC97" s="36">
        <f t="shared" si="17"/>
        <v>0</v>
      </c>
      <c r="BD97" s="36">
        <f t="shared" si="18"/>
        <v>0</v>
      </c>
      <c r="BE97" s="36">
        <v>0</v>
      </c>
      <c r="BF97" s="36">
        <f t="shared" si="19"/>
        <v>3025.4300000000003</v>
      </c>
      <c r="BH97" s="55">
        <f t="shared" si="20"/>
        <v>0</v>
      </c>
      <c r="BI97" s="55">
        <f t="shared" si="21"/>
        <v>0</v>
      </c>
      <c r="BJ97" s="55">
        <f t="shared" si="22"/>
        <v>0</v>
      </c>
    </row>
    <row r="98" spans="1:62" ht="12.75">
      <c r="A98" s="84" t="s">
        <v>157</v>
      </c>
      <c r="B98" s="84" t="s">
        <v>239</v>
      </c>
      <c r="C98" s="189" t="s">
        <v>359</v>
      </c>
      <c r="D98" s="184"/>
      <c r="E98" s="190"/>
      <c r="F98" s="84" t="s">
        <v>400</v>
      </c>
      <c r="G98" s="87">
        <v>29.7</v>
      </c>
      <c r="H98" s="87">
        <v>0</v>
      </c>
      <c r="I98" s="87">
        <f t="shared" si="0"/>
        <v>0</v>
      </c>
      <c r="J98" s="87">
        <f t="shared" si="1"/>
        <v>0</v>
      </c>
      <c r="K98" s="87">
        <f t="shared" si="2"/>
        <v>0</v>
      </c>
      <c r="L98" s="86">
        <f>G98*98</f>
        <v>2910.6</v>
      </c>
      <c r="Z98" s="36">
        <f t="shared" si="3"/>
        <v>0</v>
      </c>
      <c r="AB98" s="36">
        <f t="shared" si="4"/>
        <v>0</v>
      </c>
      <c r="AC98" s="36">
        <f t="shared" si="5"/>
        <v>0</v>
      </c>
      <c r="AD98" s="36">
        <f t="shared" si="6"/>
        <v>0</v>
      </c>
      <c r="AE98" s="36">
        <f t="shared" si="7"/>
        <v>0</v>
      </c>
      <c r="AF98" s="36">
        <f t="shared" si="8"/>
        <v>0</v>
      </c>
      <c r="AG98" s="36">
        <f t="shared" si="9"/>
        <v>0</v>
      </c>
      <c r="AH98" s="36">
        <f t="shared" si="10"/>
        <v>0</v>
      </c>
      <c r="AI98" s="59" t="s">
        <v>70</v>
      </c>
      <c r="AJ98" s="55">
        <f t="shared" si="11"/>
        <v>0</v>
      </c>
      <c r="AK98" s="55">
        <f t="shared" si="12"/>
        <v>0</v>
      </c>
      <c r="AL98" s="55">
        <f t="shared" si="13"/>
        <v>0</v>
      </c>
      <c r="AN98" s="36">
        <v>21</v>
      </c>
      <c r="AO98" s="36">
        <f t="shared" si="25"/>
        <v>0</v>
      </c>
      <c r="AP98" s="36">
        <f t="shared" si="26"/>
        <v>0</v>
      </c>
      <c r="AQ98" s="61" t="s">
        <v>105</v>
      </c>
      <c r="AV98" s="36">
        <f t="shared" si="14"/>
        <v>0</v>
      </c>
      <c r="AW98" s="36">
        <f t="shared" si="15"/>
        <v>0</v>
      </c>
      <c r="AX98" s="36">
        <f t="shared" si="16"/>
        <v>0</v>
      </c>
      <c r="AY98" s="62" t="s">
        <v>431</v>
      </c>
      <c r="AZ98" s="62" t="s">
        <v>444</v>
      </c>
      <c r="BA98" s="59" t="s">
        <v>447</v>
      </c>
      <c r="BC98" s="36">
        <f t="shared" si="17"/>
        <v>0</v>
      </c>
      <c r="BD98" s="36">
        <f t="shared" si="18"/>
        <v>0</v>
      </c>
      <c r="BE98" s="36">
        <v>0</v>
      </c>
      <c r="BF98" s="36">
        <f t="shared" si="19"/>
        <v>2910.6</v>
      </c>
      <c r="BH98" s="55">
        <f t="shared" si="20"/>
        <v>0</v>
      </c>
      <c r="BI98" s="55">
        <f t="shared" si="21"/>
        <v>0</v>
      </c>
      <c r="BJ98" s="55">
        <f t="shared" si="22"/>
        <v>0</v>
      </c>
    </row>
    <row r="99" spans="1:62" ht="12.75">
      <c r="A99" s="48" t="s">
        <v>158</v>
      </c>
      <c r="B99" s="48" t="s">
        <v>240</v>
      </c>
      <c r="C99" s="183" t="s">
        <v>360</v>
      </c>
      <c r="D99" s="184"/>
      <c r="E99" s="184"/>
      <c r="F99" s="48" t="s">
        <v>402</v>
      </c>
      <c r="G99" s="55">
        <v>1.1</v>
      </c>
      <c r="H99" s="55">
        <v>0</v>
      </c>
      <c r="I99" s="55">
        <f t="shared" si="0"/>
        <v>0</v>
      </c>
      <c r="J99" s="55">
        <f t="shared" si="1"/>
        <v>0</v>
      </c>
      <c r="K99" s="55">
        <f t="shared" si="2"/>
        <v>0</v>
      </c>
      <c r="L99" s="55">
        <f>G99*99</f>
        <v>108.9</v>
      </c>
      <c r="Z99" s="36">
        <f t="shared" si="3"/>
        <v>0</v>
      </c>
      <c r="AB99" s="36">
        <f t="shared" si="4"/>
        <v>0</v>
      </c>
      <c r="AC99" s="36">
        <f t="shared" si="5"/>
        <v>0</v>
      </c>
      <c r="AD99" s="36">
        <f t="shared" si="6"/>
        <v>0</v>
      </c>
      <c r="AE99" s="36">
        <f t="shared" si="7"/>
        <v>0</v>
      </c>
      <c r="AF99" s="36">
        <f t="shared" si="8"/>
        <v>0</v>
      </c>
      <c r="AG99" s="36">
        <f t="shared" si="9"/>
        <v>0</v>
      </c>
      <c r="AH99" s="36">
        <f t="shared" si="10"/>
        <v>0</v>
      </c>
      <c r="AI99" s="59" t="s">
        <v>70</v>
      </c>
      <c r="AJ99" s="55">
        <f t="shared" si="11"/>
        <v>0</v>
      </c>
      <c r="AK99" s="55">
        <f t="shared" si="12"/>
        <v>0</v>
      </c>
      <c r="AL99" s="55">
        <f t="shared" si="13"/>
        <v>0</v>
      </c>
      <c r="AN99" s="36">
        <v>21</v>
      </c>
      <c r="AO99" s="36">
        <f t="shared" si="25"/>
        <v>0</v>
      </c>
      <c r="AP99" s="36">
        <f t="shared" si="26"/>
        <v>0</v>
      </c>
      <c r="AQ99" s="61" t="s">
        <v>105</v>
      </c>
      <c r="AV99" s="36">
        <f t="shared" si="14"/>
        <v>0</v>
      </c>
      <c r="AW99" s="36">
        <f t="shared" si="15"/>
        <v>0</v>
      </c>
      <c r="AX99" s="36">
        <f t="shared" si="16"/>
        <v>0</v>
      </c>
      <c r="AY99" s="62" t="s">
        <v>431</v>
      </c>
      <c r="AZ99" s="62" t="s">
        <v>444</v>
      </c>
      <c r="BA99" s="59" t="s">
        <v>447</v>
      </c>
      <c r="BC99" s="36">
        <f t="shared" si="17"/>
        <v>0</v>
      </c>
      <c r="BD99" s="36">
        <f t="shared" si="18"/>
        <v>0</v>
      </c>
      <c r="BE99" s="36">
        <v>0</v>
      </c>
      <c r="BF99" s="36">
        <f t="shared" si="19"/>
        <v>108.9</v>
      </c>
      <c r="BH99" s="55">
        <f t="shared" si="20"/>
        <v>0</v>
      </c>
      <c r="BI99" s="55">
        <f t="shared" si="21"/>
        <v>0</v>
      </c>
      <c r="BJ99" s="55">
        <f t="shared" si="22"/>
        <v>0</v>
      </c>
    </row>
    <row r="100" spans="1:62" ht="12.75">
      <c r="A100" s="84" t="s">
        <v>159</v>
      </c>
      <c r="B100" s="84" t="s">
        <v>241</v>
      </c>
      <c r="C100" s="189" t="s">
        <v>361</v>
      </c>
      <c r="D100" s="184"/>
      <c r="E100" s="190"/>
      <c r="F100" s="84" t="s">
        <v>399</v>
      </c>
      <c r="G100" s="87">
        <v>2</v>
      </c>
      <c r="H100" s="87">
        <v>0</v>
      </c>
      <c r="I100" s="87">
        <f t="shared" si="0"/>
        <v>0</v>
      </c>
      <c r="J100" s="87">
        <f t="shared" si="1"/>
        <v>0</v>
      </c>
      <c r="K100" s="87">
        <f t="shared" si="2"/>
        <v>0</v>
      </c>
      <c r="L100" s="86">
        <f>G100*100</f>
        <v>200</v>
      </c>
      <c r="Z100" s="36">
        <f t="shared" si="3"/>
        <v>0</v>
      </c>
      <c r="AB100" s="36">
        <f t="shared" si="4"/>
        <v>0</v>
      </c>
      <c r="AC100" s="36">
        <f t="shared" si="5"/>
        <v>0</v>
      </c>
      <c r="AD100" s="36">
        <f t="shared" si="6"/>
        <v>0</v>
      </c>
      <c r="AE100" s="36">
        <f t="shared" si="7"/>
        <v>0</v>
      </c>
      <c r="AF100" s="36">
        <f t="shared" si="8"/>
        <v>0</v>
      </c>
      <c r="AG100" s="36">
        <f t="shared" si="9"/>
        <v>0</v>
      </c>
      <c r="AH100" s="36">
        <f t="shared" si="10"/>
        <v>0</v>
      </c>
      <c r="AI100" s="59" t="s">
        <v>70</v>
      </c>
      <c r="AJ100" s="55">
        <f t="shared" si="11"/>
        <v>0</v>
      </c>
      <c r="AK100" s="55">
        <f t="shared" si="12"/>
        <v>0</v>
      </c>
      <c r="AL100" s="55">
        <f t="shared" si="13"/>
        <v>0</v>
      </c>
      <c r="AN100" s="36">
        <v>21</v>
      </c>
      <c r="AO100" s="36">
        <f t="shared" si="25"/>
        <v>0</v>
      </c>
      <c r="AP100" s="36">
        <f t="shared" si="26"/>
        <v>0</v>
      </c>
      <c r="AQ100" s="61" t="s">
        <v>105</v>
      </c>
      <c r="AV100" s="36">
        <f t="shared" si="14"/>
        <v>0</v>
      </c>
      <c r="AW100" s="36">
        <f t="shared" si="15"/>
        <v>0</v>
      </c>
      <c r="AX100" s="36">
        <f t="shared" si="16"/>
        <v>0</v>
      </c>
      <c r="AY100" s="62" t="s">
        <v>431</v>
      </c>
      <c r="AZ100" s="62" t="s">
        <v>444</v>
      </c>
      <c r="BA100" s="59" t="s">
        <v>447</v>
      </c>
      <c r="BC100" s="36">
        <f t="shared" si="17"/>
        <v>0</v>
      </c>
      <c r="BD100" s="36">
        <f t="shared" si="18"/>
        <v>0</v>
      </c>
      <c r="BE100" s="36">
        <v>0</v>
      </c>
      <c r="BF100" s="36">
        <f t="shared" si="19"/>
        <v>200</v>
      </c>
      <c r="BH100" s="55">
        <f t="shared" si="20"/>
        <v>0</v>
      </c>
      <c r="BI100" s="55">
        <f t="shared" si="21"/>
        <v>0</v>
      </c>
      <c r="BJ100" s="55">
        <f t="shared" si="22"/>
        <v>0</v>
      </c>
    </row>
    <row r="101" spans="1:62" ht="12.75">
      <c r="A101" s="48" t="s">
        <v>160</v>
      </c>
      <c r="B101" s="48" t="s">
        <v>242</v>
      </c>
      <c r="C101" s="183" t="s">
        <v>362</v>
      </c>
      <c r="D101" s="184"/>
      <c r="E101" s="184"/>
      <c r="F101" s="48" t="s">
        <v>396</v>
      </c>
      <c r="G101" s="55">
        <v>25.34</v>
      </c>
      <c r="H101" s="55">
        <v>0</v>
      </c>
      <c r="I101" s="55">
        <f t="shared" si="0"/>
        <v>0</v>
      </c>
      <c r="J101" s="55">
        <f t="shared" si="1"/>
        <v>0</v>
      </c>
      <c r="K101" s="55">
        <f t="shared" si="2"/>
        <v>0</v>
      </c>
      <c r="L101" s="55">
        <f>G101*101</f>
        <v>2559.34</v>
      </c>
      <c r="Z101" s="36">
        <f t="shared" si="3"/>
        <v>0</v>
      </c>
      <c r="AB101" s="36">
        <f t="shared" si="4"/>
        <v>0</v>
      </c>
      <c r="AC101" s="36">
        <f t="shared" si="5"/>
        <v>0</v>
      </c>
      <c r="AD101" s="36">
        <f t="shared" si="6"/>
        <v>0</v>
      </c>
      <c r="AE101" s="36">
        <f t="shared" si="7"/>
        <v>0</v>
      </c>
      <c r="AF101" s="36">
        <f t="shared" si="8"/>
        <v>0</v>
      </c>
      <c r="AG101" s="36">
        <f t="shared" si="9"/>
        <v>0</v>
      </c>
      <c r="AH101" s="36">
        <f t="shared" si="10"/>
        <v>0</v>
      </c>
      <c r="AI101" s="59" t="s">
        <v>70</v>
      </c>
      <c r="AJ101" s="55">
        <f t="shared" si="11"/>
        <v>0</v>
      </c>
      <c r="AK101" s="55">
        <f t="shared" si="12"/>
        <v>0</v>
      </c>
      <c r="AL101" s="55">
        <f t="shared" si="13"/>
        <v>0</v>
      </c>
      <c r="AN101" s="36">
        <v>21</v>
      </c>
      <c r="AO101" s="36">
        <f t="shared" si="25"/>
        <v>0</v>
      </c>
      <c r="AP101" s="36">
        <f t="shared" si="26"/>
        <v>0</v>
      </c>
      <c r="AQ101" s="61" t="s">
        <v>105</v>
      </c>
      <c r="AV101" s="36">
        <f t="shared" si="14"/>
        <v>0</v>
      </c>
      <c r="AW101" s="36">
        <f t="shared" si="15"/>
        <v>0</v>
      </c>
      <c r="AX101" s="36">
        <f t="shared" si="16"/>
        <v>0</v>
      </c>
      <c r="AY101" s="62" t="s">
        <v>431</v>
      </c>
      <c r="AZ101" s="62" t="s">
        <v>444</v>
      </c>
      <c r="BA101" s="59" t="s">
        <v>447</v>
      </c>
      <c r="BC101" s="36">
        <f t="shared" si="17"/>
        <v>0</v>
      </c>
      <c r="BD101" s="36">
        <f t="shared" si="18"/>
        <v>0</v>
      </c>
      <c r="BE101" s="36">
        <v>0</v>
      </c>
      <c r="BF101" s="36">
        <f t="shared" si="19"/>
        <v>2559.34</v>
      </c>
      <c r="BH101" s="55">
        <f t="shared" si="20"/>
        <v>0</v>
      </c>
      <c r="BI101" s="55">
        <f t="shared" si="21"/>
        <v>0</v>
      </c>
      <c r="BJ101" s="55">
        <f t="shared" si="22"/>
        <v>0</v>
      </c>
    </row>
    <row r="102" spans="1:62" ht="12.75">
      <c r="A102" s="77" t="s">
        <v>161</v>
      </c>
      <c r="B102" s="77" t="s">
        <v>243</v>
      </c>
      <c r="C102" s="174" t="s">
        <v>363</v>
      </c>
      <c r="D102" s="172"/>
      <c r="E102" s="175"/>
      <c r="F102" s="77" t="s">
        <v>398</v>
      </c>
      <c r="G102" s="80">
        <v>3.57</v>
      </c>
      <c r="H102" s="80">
        <v>0</v>
      </c>
      <c r="I102" s="80">
        <f t="shared" si="0"/>
        <v>0</v>
      </c>
      <c r="J102" s="80">
        <f t="shared" si="1"/>
        <v>0</v>
      </c>
      <c r="K102" s="80">
        <f t="shared" si="2"/>
        <v>0</v>
      </c>
      <c r="L102" s="79">
        <f>G102*102</f>
        <v>364.14</v>
      </c>
      <c r="Z102" s="36">
        <f t="shared" si="3"/>
        <v>0</v>
      </c>
      <c r="AB102" s="36">
        <f t="shared" si="4"/>
        <v>0</v>
      </c>
      <c r="AC102" s="36">
        <f t="shared" si="5"/>
        <v>0</v>
      </c>
      <c r="AD102" s="36">
        <f t="shared" si="6"/>
        <v>0</v>
      </c>
      <c r="AE102" s="36">
        <f t="shared" si="7"/>
        <v>0</v>
      </c>
      <c r="AF102" s="36">
        <f t="shared" si="8"/>
        <v>0</v>
      </c>
      <c r="AG102" s="36">
        <f t="shared" si="9"/>
        <v>0</v>
      </c>
      <c r="AH102" s="36">
        <f t="shared" si="10"/>
        <v>0</v>
      </c>
      <c r="AI102" s="59" t="s">
        <v>70</v>
      </c>
      <c r="AJ102" s="54">
        <f t="shared" si="11"/>
        <v>0</v>
      </c>
      <c r="AK102" s="54">
        <f t="shared" si="12"/>
        <v>0</v>
      </c>
      <c r="AL102" s="54">
        <f t="shared" si="13"/>
        <v>0</v>
      </c>
      <c r="AN102" s="36">
        <v>21</v>
      </c>
      <c r="AO102" s="36">
        <f>H102*0</f>
        <v>0</v>
      </c>
      <c r="AP102" s="36">
        <f>H102*(1-0)</f>
        <v>0</v>
      </c>
      <c r="AQ102" s="60" t="s">
        <v>86</v>
      </c>
      <c r="AV102" s="36">
        <f t="shared" si="14"/>
        <v>0</v>
      </c>
      <c r="AW102" s="36">
        <f t="shared" si="15"/>
        <v>0</v>
      </c>
      <c r="AX102" s="36">
        <f t="shared" si="16"/>
        <v>0</v>
      </c>
      <c r="AY102" s="62" t="s">
        <v>431</v>
      </c>
      <c r="AZ102" s="62" t="s">
        <v>444</v>
      </c>
      <c r="BA102" s="59" t="s">
        <v>447</v>
      </c>
      <c r="BC102" s="36">
        <f t="shared" si="17"/>
        <v>0</v>
      </c>
      <c r="BD102" s="36">
        <f t="shared" si="18"/>
        <v>0</v>
      </c>
      <c r="BE102" s="36">
        <v>0</v>
      </c>
      <c r="BF102" s="36">
        <f t="shared" si="19"/>
        <v>364.14</v>
      </c>
      <c r="BH102" s="54">
        <f t="shared" si="20"/>
        <v>0</v>
      </c>
      <c r="BI102" s="54">
        <f t="shared" si="21"/>
        <v>0</v>
      </c>
      <c r="BJ102" s="54">
        <f t="shared" si="22"/>
        <v>0</v>
      </c>
    </row>
    <row r="103" spans="1:47" ht="12.75">
      <c r="A103" s="46"/>
      <c r="B103" s="52" t="s">
        <v>244</v>
      </c>
      <c r="C103" s="179" t="s">
        <v>364</v>
      </c>
      <c r="D103" s="180"/>
      <c r="E103" s="180"/>
      <c r="F103" s="46" t="s">
        <v>68</v>
      </c>
      <c r="G103" s="46" t="s">
        <v>68</v>
      </c>
      <c r="H103" s="46" t="s">
        <v>68</v>
      </c>
      <c r="I103" s="64">
        <f>SUM(I104:I108)</f>
        <v>0</v>
      </c>
      <c r="J103" s="64">
        <f>SUM(J104:J108)</f>
        <v>0</v>
      </c>
      <c r="K103" s="64">
        <f>SUM(K104:K108)</f>
        <v>0</v>
      </c>
      <c r="L103" s="64">
        <f>SUM(L104:L108)</f>
        <v>26934.48</v>
      </c>
      <c r="AI103" s="59" t="s">
        <v>70</v>
      </c>
      <c r="AS103" s="64">
        <f>SUM(AJ104:AJ108)</f>
        <v>0</v>
      </c>
      <c r="AT103" s="64">
        <f>SUM(AK104:AK108)</f>
        <v>0</v>
      </c>
      <c r="AU103" s="64">
        <f>SUM(AL104:AL108)</f>
        <v>0</v>
      </c>
    </row>
    <row r="104" spans="1:62" ht="12.75">
      <c r="A104" s="47" t="s">
        <v>162</v>
      </c>
      <c r="B104" s="47" t="s">
        <v>245</v>
      </c>
      <c r="C104" s="176" t="s">
        <v>365</v>
      </c>
      <c r="D104" s="172"/>
      <c r="E104" s="172"/>
      <c r="F104" s="47" t="s">
        <v>396</v>
      </c>
      <c r="G104" s="54">
        <v>39.8</v>
      </c>
      <c r="H104" s="54">
        <v>0</v>
      </c>
      <c r="I104" s="54">
        <f>G104*AO104</f>
        <v>0</v>
      </c>
      <c r="J104" s="54">
        <f>G104*AP104</f>
        <v>0</v>
      </c>
      <c r="K104" s="54">
        <f>G104*H104</f>
        <v>0</v>
      </c>
      <c r="L104" s="54">
        <f>G104*104</f>
        <v>4139.2</v>
      </c>
      <c r="Z104" s="36">
        <f>IF(AQ104="5",BJ104,0)</f>
        <v>0</v>
      </c>
      <c r="AB104" s="36">
        <f>IF(AQ104="1",BH104,0)</f>
        <v>0</v>
      </c>
      <c r="AC104" s="36">
        <f>IF(AQ104="1",BI104,0)</f>
        <v>0</v>
      </c>
      <c r="AD104" s="36">
        <f>IF(AQ104="7",BH104,0)</f>
        <v>0</v>
      </c>
      <c r="AE104" s="36">
        <f>IF(AQ104="7",BI104,0)</f>
        <v>0</v>
      </c>
      <c r="AF104" s="36">
        <f>IF(AQ104="2",BH104,0)</f>
        <v>0</v>
      </c>
      <c r="AG104" s="36">
        <f>IF(AQ104="2",BI104,0)</f>
        <v>0</v>
      </c>
      <c r="AH104" s="36">
        <f>IF(AQ104="0",BJ104,0)</f>
        <v>0</v>
      </c>
      <c r="AI104" s="59" t="s">
        <v>70</v>
      </c>
      <c r="AJ104" s="54">
        <f>IF(AN104=0,K104,0)</f>
        <v>0</v>
      </c>
      <c r="AK104" s="54">
        <f>IF(AN104=15,K104,0)</f>
        <v>0</v>
      </c>
      <c r="AL104" s="54">
        <f>IF(AN104=21,K104,0)</f>
        <v>0</v>
      </c>
      <c r="AN104" s="36">
        <v>21</v>
      </c>
      <c r="AO104" s="36">
        <f>H104*0.0724324324324324</f>
        <v>0</v>
      </c>
      <c r="AP104" s="36">
        <f>H104*(1-0.0724324324324324)</f>
        <v>0</v>
      </c>
      <c r="AQ104" s="60" t="s">
        <v>105</v>
      </c>
      <c r="AV104" s="36">
        <f>AW104+AX104</f>
        <v>0</v>
      </c>
      <c r="AW104" s="36">
        <f>G104*AO104</f>
        <v>0</v>
      </c>
      <c r="AX104" s="36">
        <f>G104*AP104</f>
        <v>0</v>
      </c>
      <c r="AY104" s="62" t="s">
        <v>432</v>
      </c>
      <c r="AZ104" s="62" t="s">
        <v>445</v>
      </c>
      <c r="BA104" s="59" t="s">
        <v>447</v>
      </c>
      <c r="BC104" s="36">
        <f>AW104+AX104</f>
        <v>0</v>
      </c>
      <c r="BD104" s="36">
        <f>H104/(100-BE104)*100</f>
        <v>0</v>
      </c>
      <c r="BE104" s="36">
        <v>0</v>
      </c>
      <c r="BF104" s="36">
        <f>L104</f>
        <v>4139.2</v>
      </c>
      <c r="BH104" s="54">
        <f>G104*AO104</f>
        <v>0</v>
      </c>
      <c r="BI104" s="54">
        <f>G104*AP104</f>
        <v>0</v>
      </c>
      <c r="BJ104" s="54">
        <f>G104*H104</f>
        <v>0</v>
      </c>
    </row>
    <row r="105" spans="1:62" ht="12.75">
      <c r="A105" s="47" t="s">
        <v>163</v>
      </c>
      <c r="B105" s="47" t="s">
        <v>246</v>
      </c>
      <c r="C105" s="176" t="s">
        <v>366</v>
      </c>
      <c r="D105" s="172"/>
      <c r="E105" s="172"/>
      <c r="F105" s="47" t="s">
        <v>396</v>
      </c>
      <c r="G105" s="54">
        <v>39.8</v>
      </c>
      <c r="H105" s="54">
        <v>0</v>
      </c>
      <c r="I105" s="54">
        <f>G105*AO105</f>
        <v>0</v>
      </c>
      <c r="J105" s="54">
        <f>G105*AP105</f>
        <v>0</v>
      </c>
      <c r="K105" s="54">
        <f>G105*H105</f>
        <v>0</v>
      </c>
      <c r="L105" s="54">
        <f>G105*105</f>
        <v>4179</v>
      </c>
      <c r="Z105" s="36">
        <f>IF(AQ105="5",BJ105,0)</f>
        <v>0</v>
      </c>
      <c r="AB105" s="36">
        <f>IF(AQ105="1",BH105,0)</f>
        <v>0</v>
      </c>
      <c r="AC105" s="36">
        <f>IF(AQ105="1",BI105,0)</f>
        <v>0</v>
      </c>
      <c r="AD105" s="36">
        <f>IF(AQ105="7",BH105,0)</f>
        <v>0</v>
      </c>
      <c r="AE105" s="36">
        <f>IF(AQ105="7",BI105,0)</f>
        <v>0</v>
      </c>
      <c r="AF105" s="36">
        <f>IF(AQ105="2",BH105,0)</f>
        <v>0</v>
      </c>
      <c r="AG105" s="36">
        <f>IF(AQ105="2",BI105,0)</f>
        <v>0</v>
      </c>
      <c r="AH105" s="36">
        <f>IF(AQ105="0",BJ105,0)</f>
        <v>0</v>
      </c>
      <c r="AI105" s="59" t="s">
        <v>70</v>
      </c>
      <c r="AJ105" s="54">
        <f>IF(AN105=0,K105,0)</f>
        <v>0</v>
      </c>
      <c r="AK105" s="54">
        <f>IF(AN105=15,K105,0)</f>
        <v>0</v>
      </c>
      <c r="AL105" s="54">
        <f>IF(AN105=21,K105,0)</f>
        <v>0</v>
      </c>
      <c r="AN105" s="36">
        <v>21</v>
      </c>
      <c r="AO105" s="36">
        <f>H105*0.135658914728682</f>
        <v>0</v>
      </c>
      <c r="AP105" s="36">
        <f>H105*(1-0.135658914728682)</f>
        <v>0</v>
      </c>
      <c r="AQ105" s="60" t="s">
        <v>105</v>
      </c>
      <c r="AV105" s="36">
        <f>AW105+AX105</f>
        <v>0</v>
      </c>
      <c r="AW105" s="36">
        <f>G105*AO105</f>
        <v>0</v>
      </c>
      <c r="AX105" s="36">
        <f>G105*AP105</f>
        <v>0</v>
      </c>
      <c r="AY105" s="62" t="s">
        <v>432</v>
      </c>
      <c r="AZ105" s="62" t="s">
        <v>445</v>
      </c>
      <c r="BA105" s="59" t="s">
        <v>447</v>
      </c>
      <c r="BC105" s="36">
        <f>AW105+AX105</f>
        <v>0</v>
      </c>
      <c r="BD105" s="36">
        <f>H105/(100-BE105)*100</f>
        <v>0</v>
      </c>
      <c r="BE105" s="36">
        <v>0</v>
      </c>
      <c r="BF105" s="36">
        <f>L105</f>
        <v>4179</v>
      </c>
      <c r="BH105" s="54">
        <f>G105*AO105</f>
        <v>0</v>
      </c>
      <c r="BI105" s="54">
        <f>G105*AP105</f>
        <v>0</v>
      </c>
      <c r="BJ105" s="54">
        <f>G105*H105</f>
        <v>0</v>
      </c>
    </row>
    <row r="106" spans="1:62" ht="12.75">
      <c r="A106" s="47" t="s">
        <v>164</v>
      </c>
      <c r="B106" s="47" t="s">
        <v>247</v>
      </c>
      <c r="C106" s="176" t="s">
        <v>367</v>
      </c>
      <c r="D106" s="172"/>
      <c r="E106" s="172"/>
      <c r="F106" s="47" t="s">
        <v>396</v>
      </c>
      <c r="G106" s="54">
        <v>39.8</v>
      </c>
      <c r="H106" s="54">
        <v>0</v>
      </c>
      <c r="I106" s="54">
        <f>G106*AO106</f>
        <v>0</v>
      </c>
      <c r="J106" s="54">
        <f>G106*AP106</f>
        <v>0</v>
      </c>
      <c r="K106" s="54">
        <f>G106*H106</f>
        <v>0</v>
      </c>
      <c r="L106" s="54">
        <f>G106*106</f>
        <v>4218.799999999999</v>
      </c>
      <c r="Z106" s="36">
        <f>IF(AQ106="5",BJ106,0)</f>
        <v>0</v>
      </c>
      <c r="AB106" s="36">
        <f>IF(AQ106="1",BH106,0)</f>
        <v>0</v>
      </c>
      <c r="AC106" s="36">
        <f>IF(AQ106="1",BI106,0)</f>
        <v>0</v>
      </c>
      <c r="AD106" s="36">
        <f>IF(AQ106="7",BH106,0)</f>
        <v>0</v>
      </c>
      <c r="AE106" s="36">
        <f>IF(AQ106="7",BI106,0)</f>
        <v>0</v>
      </c>
      <c r="AF106" s="36">
        <f>IF(AQ106="2",BH106,0)</f>
        <v>0</v>
      </c>
      <c r="AG106" s="36">
        <f>IF(AQ106="2",BI106,0)</f>
        <v>0</v>
      </c>
      <c r="AH106" s="36">
        <f>IF(AQ106="0",BJ106,0)</f>
        <v>0</v>
      </c>
      <c r="AI106" s="59" t="s">
        <v>70</v>
      </c>
      <c r="AJ106" s="54">
        <f>IF(AN106=0,K106,0)</f>
        <v>0</v>
      </c>
      <c r="AK106" s="54">
        <f>IF(AN106=15,K106,0)</f>
        <v>0</v>
      </c>
      <c r="AL106" s="54">
        <f>IF(AN106=21,K106,0)</f>
        <v>0</v>
      </c>
      <c r="AN106" s="36">
        <v>21</v>
      </c>
      <c r="AO106" s="36">
        <f>H106*0.175991676420861</f>
        <v>0</v>
      </c>
      <c r="AP106" s="36">
        <f>H106*(1-0.175991676420861)</f>
        <v>0</v>
      </c>
      <c r="AQ106" s="60" t="s">
        <v>105</v>
      </c>
      <c r="AV106" s="36">
        <f>AW106+AX106</f>
        <v>0</v>
      </c>
      <c r="AW106" s="36">
        <f>G106*AO106</f>
        <v>0</v>
      </c>
      <c r="AX106" s="36">
        <f>G106*AP106</f>
        <v>0</v>
      </c>
      <c r="AY106" s="62" t="s">
        <v>432</v>
      </c>
      <c r="AZ106" s="62" t="s">
        <v>445</v>
      </c>
      <c r="BA106" s="59" t="s">
        <v>447</v>
      </c>
      <c r="BC106" s="36">
        <f>AW106+AX106</f>
        <v>0</v>
      </c>
      <c r="BD106" s="36">
        <f>H106/(100-BE106)*100</f>
        <v>0</v>
      </c>
      <c r="BE106" s="36">
        <v>0</v>
      </c>
      <c r="BF106" s="36">
        <f>L106</f>
        <v>4218.799999999999</v>
      </c>
      <c r="BH106" s="54">
        <f>G106*AO106</f>
        <v>0</v>
      </c>
      <c r="BI106" s="54">
        <f>G106*AP106</f>
        <v>0</v>
      </c>
      <c r="BJ106" s="54">
        <f>G106*H106</f>
        <v>0</v>
      </c>
    </row>
    <row r="107" spans="3:5" ht="12.75">
      <c r="C107" s="185" t="s">
        <v>368</v>
      </c>
      <c r="D107" s="186"/>
      <c r="E107" s="186"/>
    </row>
    <row r="108" spans="1:62" ht="12.75">
      <c r="A108" s="47" t="s">
        <v>165</v>
      </c>
      <c r="B108" s="47" t="s">
        <v>248</v>
      </c>
      <c r="C108" s="176" t="s">
        <v>369</v>
      </c>
      <c r="D108" s="172"/>
      <c r="E108" s="172"/>
      <c r="F108" s="47" t="s">
        <v>396</v>
      </c>
      <c r="G108" s="54">
        <v>133.31</v>
      </c>
      <c r="H108" s="54">
        <v>0</v>
      </c>
      <c r="I108" s="54">
        <f>G108*AO108</f>
        <v>0</v>
      </c>
      <c r="J108" s="54">
        <f>G108*AP108</f>
        <v>0</v>
      </c>
      <c r="K108" s="54">
        <f>G108*H108</f>
        <v>0</v>
      </c>
      <c r="L108" s="54">
        <f>G108*108</f>
        <v>14397.48</v>
      </c>
      <c r="Z108" s="36">
        <f>IF(AQ108="5",BJ108,0)</f>
        <v>0</v>
      </c>
      <c r="AB108" s="36">
        <f>IF(AQ108="1",BH108,0)</f>
        <v>0</v>
      </c>
      <c r="AC108" s="36">
        <f>IF(AQ108="1",BI108,0)</f>
        <v>0</v>
      </c>
      <c r="AD108" s="36">
        <f>IF(AQ108="7",BH108,0)</f>
        <v>0</v>
      </c>
      <c r="AE108" s="36">
        <f>IF(AQ108="7",BI108,0)</f>
        <v>0</v>
      </c>
      <c r="AF108" s="36">
        <f>IF(AQ108="2",BH108,0)</f>
        <v>0</v>
      </c>
      <c r="AG108" s="36">
        <f>IF(AQ108="2",BI108,0)</f>
        <v>0</v>
      </c>
      <c r="AH108" s="36">
        <f>IF(AQ108="0",BJ108,0)</f>
        <v>0</v>
      </c>
      <c r="AI108" s="59" t="s">
        <v>70</v>
      </c>
      <c r="AJ108" s="54">
        <f>IF(AN108=0,K108,0)</f>
        <v>0</v>
      </c>
      <c r="AK108" s="54">
        <f>IF(AN108=15,K108,0)</f>
        <v>0</v>
      </c>
      <c r="AL108" s="54">
        <f>IF(AN108=21,K108,0)</f>
        <v>0</v>
      </c>
      <c r="AN108" s="36">
        <v>21</v>
      </c>
      <c r="AO108" s="36">
        <f>H108*0.260185698088722</f>
        <v>0</v>
      </c>
      <c r="AP108" s="36">
        <f>H108*(1-0.260185698088722)</f>
        <v>0</v>
      </c>
      <c r="AQ108" s="60" t="s">
        <v>105</v>
      </c>
      <c r="AV108" s="36">
        <f>AW108+AX108</f>
        <v>0</v>
      </c>
      <c r="AW108" s="36">
        <f>G108*AO108</f>
        <v>0</v>
      </c>
      <c r="AX108" s="36">
        <f>G108*AP108</f>
        <v>0</v>
      </c>
      <c r="AY108" s="62" t="s">
        <v>432</v>
      </c>
      <c r="AZ108" s="62" t="s">
        <v>445</v>
      </c>
      <c r="BA108" s="59" t="s">
        <v>447</v>
      </c>
      <c r="BC108" s="36">
        <f>AW108+AX108</f>
        <v>0</v>
      </c>
      <c r="BD108" s="36">
        <f>H108/(100-BE108)*100</f>
        <v>0</v>
      </c>
      <c r="BE108" s="36">
        <v>0</v>
      </c>
      <c r="BF108" s="36">
        <f>L108</f>
        <v>14397.48</v>
      </c>
      <c r="BH108" s="54">
        <f>G108*AO108</f>
        <v>0</v>
      </c>
      <c r="BI108" s="54">
        <f>G108*AP108</f>
        <v>0</v>
      </c>
      <c r="BJ108" s="54">
        <f>G108*H108</f>
        <v>0</v>
      </c>
    </row>
    <row r="109" spans="3:5" ht="12.75">
      <c r="C109" s="185" t="s">
        <v>368</v>
      </c>
      <c r="D109" s="186"/>
      <c r="E109" s="186"/>
    </row>
    <row r="110" spans="1:47" ht="12.75">
      <c r="A110" s="75"/>
      <c r="B110" s="76" t="s">
        <v>249</v>
      </c>
      <c r="C110" s="181" t="s">
        <v>370</v>
      </c>
      <c r="D110" s="180"/>
      <c r="E110" s="182"/>
      <c r="F110" s="75" t="s">
        <v>68</v>
      </c>
      <c r="G110" s="75" t="s">
        <v>68</v>
      </c>
      <c r="H110" s="75" t="s">
        <v>68</v>
      </c>
      <c r="I110" s="81">
        <f>SUM(I111:I116)</f>
        <v>0</v>
      </c>
      <c r="J110" s="81">
        <f>SUM(J111:J116)</f>
        <v>0</v>
      </c>
      <c r="K110" s="81">
        <f>SUM(K111:K116)</f>
        <v>0</v>
      </c>
      <c r="L110" s="72">
        <f>SUM(L111:L116)</f>
        <v>7154.15</v>
      </c>
      <c r="AI110" s="59" t="s">
        <v>70</v>
      </c>
      <c r="AS110" s="64">
        <f>SUM(AJ111:AJ116)</f>
        <v>0</v>
      </c>
      <c r="AT110" s="64">
        <f>SUM(AK111:AK116)</f>
        <v>0</v>
      </c>
      <c r="AU110" s="64">
        <f>SUM(AL111:AL116)</f>
        <v>0</v>
      </c>
    </row>
    <row r="111" spans="1:62" ht="12.75">
      <c r="A111" s="77" t="s">
        <v>166</v>
      </c>
      <c r="B111" s="77" t="s">
        <v>250</v>
      </c>
      <c r="C111" s="174" t="s">
        <v>371</v>
      </c>
      <c r="D111" s="172"/>
      <c r="E111" s="175"/>
      <c r="F111" s="77" t="s">
        <v>400</v>
      </c>
      <c r="G111" s="80">
        <v>49.85</v>
      </c>
      <c r="H111" s="80">
        <v>0</v>
      </c>
      <c r="I111" s="80">
        <f>G111*AO111</f>
        <v>0</v>
      </c>
      <c r="J111" s="80">
        <f>G111*AP111</f>
        <v>0</v>
      </c>
      <c r="K111" s="80">
        <f>G111*H111</f>
        <v>0</v>
      </c>
      <c r="L111" s="79">
        <f>G111*111</f>
        <v>5533.35</v>
      </c>
      <c r="Z111" s="36">
        <f>IF(AQ111="5",BJ111,0)</f>
        <v>0</v>
      </c>
      <c r="AB111" s="36">
        <f>IF(AQ111="1",BH111,0)</f>
        <v>0</v>
      </c>
      <c r="AC111" s="36">
        <f>IF(AQ111="1",BI111,0)</f>
        <v>0</v>
      </c>
      <c r="AD111" s="36">
        <f>IF(AQ111="7",BH111,0)</f>
        <v>0</v>
      </c>
      <c r="AE111" s="36">
        <f>IF(AQ111="7",BI111,0)</f>
        <v>0</v>
      </c>
      <c r="AF111" s="36">
        <f>IF(AQ111="2",BH111,0)</f>
        <v>0</v>
      </c>
      <c r="AG111" s="36">
        <f>IF(AQ111="2",BI111,0)</f>
        <v>0</v>
      </c>
      <c r="AH111" s="36">
        <f>IF(AQ111="0",BJ111,0)</f>
        <v>0</v>
      </c>
      <c r="AI111" s="59" t="s">
        <v>70</v>
      </c>
      <c r="AJ111" s="54">
        <f>IF(AN111=0,K111,0)</f>
        <v>0</v>
      </c>
      <c r="AK111" s="54">
        <f>IF(AN111=15,K111,0)</f>
        <v>0</v>
      </c>
      <c r="AL111" s="54">
        <f>IF(AN111=21,K111,0)</f>
        <v>0</v>
      </c>
      <c r="AN111" s="36">
        <v>21</v>
      </c>
      <c r="AO111" s="36">
        <f>H111*0.60458921835434</f>
        <v>0</v>
      </c>
      <c r="AP111" s="36">
        <f>H111*(1-0.60458921835434)</f>
        <v>0</v>
      </c>
      <c r="AQ111" s="60" t="s">
        <v>83</v>
      </c>
      <c r="AV111" s="36">
        <f>AW111+AX111</f>
        <v>0</v>
      </c>
      <c r="AW111" s="36">
        <f>G111*AO111</f>
        <v>0</v>
      </c>
      <c r="AX111" s="36">
        <f>G111*AP111</f>
        <v>0</v>
      </c>
      <c r="AY111" s="62" t="s">
        <v>433</v>
      </c>
      <c r="AZ111" s="62" t="s">
        <v>446</v>
      </c>
      <c r="BA111" s="59" t="s">
        <v>447</v>
      </c>
      <c r="BC111" s="36">
        <f>AW111+AX111</f>
        <v>0</v>
      </c>
      <c r="BD111" s="36">
        <f>H111/(100-BE111)*100</f>
        <v>0</v>
      </c>
      <c r="BE111" s="36">
        <v>0</v>
      </c>
      <c r="BF111" s="36">
        <f>L111</f>
        <v>5533.35</v>
      </c>
      <c r="BH111" s="54">
        <f>G111*AO111</f>
        <v>0</v>
      </c>
      <c r="BI111" s="54">
        <f>G111*AP111</f>
        <v>0</v>
      </c>
      <c r="BJ111" s="54">
        <f>G111*H111</f>
        <v>0</v>
      </c>
    </row>
    <row r="112" spans="1:62" ht="12.75">
      <c r="A112" s="47" t="s">
        <v>167</v>
      </c>
      <c r="B112" s="47" t="s">
        <v>251</v>
      </c>
      <c r="C112" s="176" t="s">
        <v>372</v>
      </c>
      <c r="D112" s="172"/>
      <c r="E112" s="172"/>
      <c r="F112" s="47" t="s">
        <v>400</v>
      </c>
      <c r="G112" s="54">
        <v>2.7</v>
      </c>
      <c r="H112" s="54">
        <v>0</v>
      </c>
      <c r="I112" s="54">
        <f>G112*AO112</f>
        <v>0</v>
      </c>
      <c r="J112" s="54">
        <f>G112*AP112</f>
        <v>0</v>
      </c>
      <c r="K112" s="54">
        <f>G112*H112</f>
        <v>0</v>
      </c>
      <c r="L112" s="54">
        <f>G112*112</f>
        <v>302.40000000000003</v>
      </c>
      <c r="Z112" s="36">
        <f>IF(AQ112="5",BJ112,0)</f>
        <v>0</v>
      </c>
      <c r="AB112" s="36">
        <f>IF(AQ112="1",BH112,0)</f>
        <v>0</v>
      </c>
      <c r="AC112" s="36">
        <f>IF(AQ112="1",BI112,0)</f>
        <v>0</v>
      </c>
      <c r="AD112" s="36">
        <f>IF(AQ112="7",BH112,0)</f>
        <v>0</v>
      </c>
      <c r="AE112" s="36">
        <f>IF(AQ112="7",BI112,0)</f>
        <v>0</v>
      </c>
      <c r="AF112" s="36">
        <f>IF(AQ112="2",BH112,0)</f>
        <v>0</v>
      </c>
      <c r="AG112" s="36">
        <f>IF(AQ112="2",BI112,0)</f>
        <v>0</v>
      </c>
      <c r="AH112" s="36">
        <f>IF(AQ112="0",BJ112,0)</f>
        <v>0</v>
      </c>
      <c r="AI112" s="59" t="s">
        <v>70</v>
      </c>
      <c r="AJ112" s="54">
        <f>IF(AN112=0,K112,0)</f>
        <v>0</v>
      </c>
      <c r="AK112" s="54">
        <f>IF(AN112=15,K112,0)</f>
        <v>0</v>
      </c>
      <c r="AL112" s="54">
        <f>IF(AN112=21,K112,0)</f>
        <v>0</v>
      </c>
      <c r="AN112" s="36">
        <v>21</v>
      </c>
      <c r="AO112" s="36">
        <f>H112*0.316231884057971</f>
        <v>0</v>
      </c>
      <c r="AP112" s="36">
        <f>H112*(1-0.316231884057971)</f>
        <v>0</v>
      </c>
      <c r="AQ112" s="60" t="s">
        <v>83</v>
      </c>
      <c r="AV112" s="36">
        <f>AW112+AX112</f>
        <v>0</v>
      </c>
      <c r="AW112" s="36">
        <f>G112*AO112</f>
        <v>0</v>
      </c>
      <c r="AX112" s="36">
        <f>G112*AP112</f>
        <v>0</v>
      </c>
      <c r="AY112" s="62" t="s">
        <v>433</v>
      </c>
      <c r="AZ112" s="62" t="s">
        <v>446</v>
      </c>
      <c r="BA112" s="59" t="s">
        <v>447</v>
      </c>
      <c r="BC112" s="36">
        <f>AW112+AX112</f>
        <v>0</v>
      </c>
      <c r="BD112" s="36">
        <f>H112/(100-BE112)*100</f>
        <v>0</v>
      </c>
      <c r="BE112" s="36">
        <v>0</v>
      </c>
      <c r="BF112" s="36">
        <f>L112</f>
        <v>302.40000000000003</v>
      </c>
      <c r="BH112" s="54">
        <f>G112*AO112</f>
        <v>0</v>
      </c>
      <c r="BI112" s="54">
        <f>G112*AP112</f>
        <v>0</v>
      </c>
      <c r="BJ112" s="54">
        <f>G112*H112</f>
        <v>0</v>
      </c>
    </row>
    <row r="113" spans="1:62" ht="12.75">
      <c r="A113" s="47" t="s">
        <v>88</v>
      </c>
      <c r="B113" s="47" t="s">
        <v>252</v>
      </c>
      <c r="C113" s="176" t="s">
        <v>373</v>
      </c>
      <c r="D113" s="172"/>
      <c r="E113" s="172"/>
      <c r="F113" s="47" t="s">
        <v>399</v>
      </c>
      <c r="G113" s="54">
        <v>1</v>
      </c>
      <c r="H113" s="54">
        <v>0</v>
      </c>
      <c r="I113" s="54">
        <f>G113*AO113</f>
        <v>0</v>
      </c>
      <c r="J113" s="54">
        <f>G113*AP113</f>
        <v>0</v>
      </c>
      <c r="K113" s="54">
        <f>G113*H113</f>
        <v>0</v>
      </c>
      <c r="L113" s="54">
        <f>G113*113</f>
        <v>113</v>
      </c>
      <c r="Z113" s="36">
        <f>IF(AQ113="5",BJ113,0)</f>
        <v>0</v>
      </c>
      <c r="AB113" s="36">
        <f>IF(AQ113="1",BH113,0)</f>
        <v>0</v>
      </c>
      <c r="AC113" s="36">
        <f>IF(AQ113="1",BI113,0)</f>
        <v>0</v>
      </c>
      <c r="AD113" s="36">
        <f>IF(AQ113="7",BH113,0)</f>
        <v>0</v>
      </c>
      <c r="AE113" s="36">
        <f>IF(AQ113="7",BI113,0)</f>
        <v>0</v>
      </c>
      <c r="AF113" s="36">
        <f>IF(AQ113="2",BH113,0)</f>
        <v>0</v>
      </c>
      <c r="AG113" s="36">
        <f>IF(AQ113="2",BI113,0)</f>
        <v>0</v>
      </c>
      <c r="AH113" s="36">
        <f>IF(AQ113="0",BJ113,0)</f>
        <v>0</v>
      </c>
      <c r="AI113" s="59" t="s">
        <v>70</v>
      </c>
      <c r="AJ113" s="54">
        <f>IF(AN113=0,K113,0)</f>
        <v>0</v>
      </c>
      <c r="AK113" s="54">
        <f>IF(AN113=15,K113,0)</f>
        <v>0</v>
      </c>
      <c r="AL113" s="54">
        <f>IF(AN113=21,K113,0)</f>
        <v>0</v>
      </c>
      <c r="AN113" s="36">
        <v>21</v>
      </c>
      <c r="AO113" s="36">
        <f>H113*0.614671583773547</f>
        <v>0</v>
      </c>
      <c r="AP113" s="36">
        <f>H113*(1-0.614671583773547)</f>
        <v>0</v>
      </c>
      <c r="AQ113" s="60" t="s">
        <v>83</v>
      </c>
      <c r="AV113" s="36">
        <f>AW113+AX113</f>
        <v>0</v>
      </c>
      <c r="AW113" s="36">
        <f>G113*AO113</f>
        <v>0</v>
      </c>
      <c r="AX113" s="36">
        <f>G113*AP113</f>
        <v>0</v>
      </c>
      <c r="AY113" s="62" t="s">
        <v>433</v>
      </c>
      <c r="AZ113" s="62" t="s">
        <v>446</v>
      </c>
      <c r="BA113" s="59" t="s">
        <v>447</v>
      </c>
      <c r="BC113" s="36">
        <f>AW113+AX113</f>
        <v>0</v>
      </c>
      <c r="BD113" s="36">
        <f>H113/(100-BE113)*100</f>
        <v>0</v>
      </c>
      <c r="BE113" s="36">
        <v>0</v>
      </c>
      <c r="BF113" s="36">
        <f>L113</f>
        <v>113</v>
      </c>
      <c r="BH113" s="54">
        <f>G113*AO113</f>
        <v>0</v>
      </c>
      <c r="BI113" s="54">
        <f>G113*AP113</f>
        <v>0</v>
      </c>
      <c r="BJ113" s="54">
        <f>G113*H113</f>
        <v>0</v>
      </c>
    </row>
    <row r="114" spans="3:5" ht="12.75">
      <c r="C114" s="185" t="s">
        <v>374</v>
      </c>
      <c r="D114" s="186"/>
      <c r="E114" s="186"/>
    </row>
    <row r="115" spans="1:62" ht="12.75">
      <c r="A115" s="88" t="s">
        <v>168</v>
      </c>
      <c r="B115" s="88" t="s">
        <v>253</v>
      </c>
      <c r="C115" s="187" t="s">
        <v>375</v>
      </c>
      <c r="D115" s="184"/>
      <c r="E115" s="188"/>
      <c r="F115" s="88" t="s">
        <v>399</v>
      </c>
      <c r="G115" s="89">
        <v>1</v>
      </c>
      <c r="H115" s="89">
        <v>0</v>
      </c>
      <c r="I115" s="89">
        <f>G115*AO115</f>
        <v>0</v>
      </c>
      <c r="J115" s="89">
        <f>G115*AP115</f>
        <v>0</v>
      </c>
      <c r="K115" s="89">
        <f>G115*H115</f>
        <v>0</v>
      </c>
      <c r="L115" s="85">
        <f>G115*115</f>
        <v>115</v>
      </c>
      <c r="Z115" s="36">
        <f>IF(AQ115="5",BJ115,0)</f>
        <v>0</v>
      </c>
      <c r="AB115" s="36">
        <f>IF(AQ115="1",BH115,0)</f>
        <v>0</v>
      </c>
      <c r="AC115" s="36">
        <f>IF(AQ115="1",BI115,0)</f>
        <v>0</v>
      </c>
      <c r="AD115" s="36">
        <f>IF(AQ115="7",BH115,0)</f>
        <v>0</v>
      </c>
      <c r="AE115" s="36">
        <f>IF(AQ115="7",BI115,0)</f>
        <v>0</v>
      </c>
      <c r="AF115" s="36">
        <f>IF(AQ115="2",BH115,0)</f>
        <v>0</v>
      </c>
      <c r="AG115" s="36">
        <f>IF(AQ115="2",BI115,0)</f>
        <v>0</v>
      </c>
      <c r="AH115" s="36">
        <f>IF(AQ115="0",BJ115,0)</f>
        <v>0</v>
      </c>
      <c r="AI115" s="59" t="s">
        <v>70</v>
      </c>
      <c r="AJ115" s="55">
        <f>IF(AN115=0,K115,0)</f>
        <v>0</v>
      </c>
      <c r="AK115" s="55">
        <f>IF(AN115=15,K115,0)</f>
        <v>0</v>
      </c>
      <c r="AL115" s="55">
        <f>IF(AN115=21,K115,0)</f>
        <v>0</v>
      </c>
      <c r="AN115" s="36">
        <v>21</v>
      </c>
      <c r="AO115" s="36">
        <f>H115*1</f>
        <v>0</v>
      </c>
      <c r="AP115" s="36">
        <f>H115*(1-1)</f>
        <v>0</v>
      </c>
      <c r="AQ115" s="61" t="s">
        <v>83</v>
      </c>
      <c r="AV115" s="36">
        <f>AW115+AX115</f>
        <v>0</v>
      </c>
      <c r="AW115" s="36">
        <f>G115*AO115</f>
        <v>0</v>
      </c>
      <c r="AX115" s="36">
        <f>G115*AP115</f>
        <v>0</v>
      </c>
      <c r="AY115" s="62" t="s">
        <v>433</v>
      </c>
      <c r="AZ115" s="62" t="s">
        <v>446</v>
      </c>
      <c r="BA115" s="59" t="s">
        <v>447</v>
      </c>
      <c r="BC115" s="36">
        <f>AW115+AX115</f>
        <v>0</v>
      </c>
      <c r="BD115" s="36">
        <f>H115/(100-BE115)*100</f>
        <v>0</v>
      </c>
      <c r="BE115" s="36">
        <v>0</v>
      </c>
      <c r="BF115" s="36">
        <f>L115</f>
        <v>115</v>
      </c>
      <c r="BH115" s="55">
        <f>G115*AO115</f>
        <v>0</v>
      </c>
      <c r="BI115" s="55">
        <f>G115*AP115</f>
        <v>0</v>
      </c>
      <c r="BJ115" s="55">
        <f>G115*H115</f>
        <v>0</v>
      </c>
    </row>
    <row r="116" spans="1:62" ht="12.75">
      <c r="A116" s="77" t="s">
        <v>169</v>
      </c>
      <c r="B116" s="77" t="s">
        <v>205</v>
      </c>
      <c r="C116" s="174" t="s">
        <v>317</v>
      </c>
      <c r="D116" s="172"/>
      <c r="E116" s="175"/>
      <c r="F116" s="77" t="s">
        <v>398</v>
      </c>
      <c r="G116" s="80">
        <v>9.4</v>
      </c>
      <c r="H116" s="80">
        <v>0</v>
      </c>
      <c r="I116" s="80">
        <f>G116*AO116</f>
        <v>0</v>
      </c>
      <c r="J116" s="80">
        <f>G116*AP116</f>
        <v>0</v>
      </c>
      <c r="K116" s="80">
        <f>G116*H116</f>
        <v>0</v>
      </c>
      <c r="L116" s="79">
        <f>G116*116</f>
        <v>1090.4</v>
      </c>
      <c r="Z116" s="36">
        <f>IF(AQ116="5",BJ116,0)</f>
        <v>0</v>
      </c>
      <c r="AB116" s="36">
        <f>IF(AQ116="1",BH116,0)</f>
        <v>0</v>
      </c>
      <c r="AC116" s="36">
        <f>IF(AQ116="1",BI116,0)</f>
        <v>0</v>
      </c>
      <c r="AD116" s="36">
        <f>IF(AQ116="7",BH116,0)</f>
        <v>0</v>
      </c>
      <c r="AE116" s="36">
        <f>IF(AQ116="7",BI116,0)</f>
        <v>0</v>
      </c>
      <c r="AF116" s="36">
        <f>IF(AQ116="2",BH116,0)</f>
        <v>0</v>
      </c>
      <c r="AG116" s="36">
        <f>IF(AQ116="2",BI116,0)</f>
        <v>0</v>
      </c>
      <c r="AH116" s="36">
        <f>IF(AQ116="0",BJ116,0)</f>
        <v>0</v>
      </c>
      <c r="AI116" s="59" t="s">
        <v>70</v>
      </c>
      <c r="AJ116" s="54">
        <f>IF(AN116=0,K116,0)</f>
        <v>0</v>
      </c>
      <c r="AK116" s="54">
        <f>IF(AN116=15,K116,0)</f>
        <v>0</v>
      </c>
      <c r="AL116" s="54">
        <f>IF(AN116=21,K116,0)</f>
        <v>0</v>
      </c>
      <c r="AN116" s="36">
        <v>21</v>
      </c>
      <c r="AO116" s="36">
        <f>H116*0</f>
        <v>0</v>
      </c>
      <c r="AP116" s="36">
        <f>H116*(1-0)</f>
        <v>0</v>
      </c>
      <c r="AQ116" s="60" t="s">
        <v>86</v>
      </c>
      <c r="AV116" s="36">
        <f>AW116+AX116</f>
        <v>0</v>
      </c>
      <c r="AW116" s="36">
        <f>G116*AO116</f>
        <v>0</v>
      </c>
      <c r="AX116" s="36">
        <f>G116*AP116</f>
        <v>0</v>
      </c>
      <c r="AY116" s="62" t="s">
        <v>433</v>
      </c>
      <c r="AZ116" s="62" t="s">
        <v>446</v>
      </c>
      <c r="BA116" s="59" t="s">
        <v>447</v>
      </c>
      <c r="BC116" s="36">
        <f>AW116+AX116</f>
        <v>0</v>
      </c>
      <c r="BD116" s="36">
        <f>H116/(100-BE116)*100</f>
        <v>0</v>
      </c>
      <c r="BE116" s="36">
        <v>0</v>
      </c>
      <c r="BF116" s="36">
        <f>L116</f>
        <v>1090.4</v>
      </c>
      <c r="BH116" s="54">
        <f>G116*AO116</f>
        <v>0</v>
      </c>
      <c r="BI116" s="54">
        <f>G116*AP116</f>
        <v>0</v>
      </c>
      <c r="BJ116" s="54">
        <f>G116*H116</f>
        <v>0</v>
      </c>
    </row>
    <row r="117" spans="1:47" ht="12.75">
      <c r="A117" s="46"/>
      <c r="B117" s="52" t="s">
        <v>254</v>
      </c>
      <c r="C117" s="179" t="s">
        <v>376</v>
      </c>
      <c r="D117" s="180"/>
      <c r="E117" s="180"/>
      <c r="F117" s="46" t="s">
        <v>68</v>
      </c>
      <c r="G117" s="46" t="s">
        <v>68</v>
      </c>
      <c r="H117" s="46" t="s">
        <v>68</v>
      </c>
      <c r="I117" s="64">
        <f>SUM(I118:I121)</f>
        <v>0</v>
      </c>
      <c r="J117" s="64">
        <f>SUM(J118:J121)</f>
        <v>0</v>
      </c>
      <c r="K117" s="64">
        <f>SUM(K118:K121)</f>
        <v>0</v>
      </c>
      <c r="L117" s="64">
        <f>SUM(L118:L121)</f>
        <v>18951.48</v>
      </c>
      <c r="AI117" s="59" t="s">
        <v>70</v>
      </c>
      <c r="AS117" s="64">
        <f>SUM(AJ118:AJ121)</f>
        <v>0</v>
      </c>
      <c r="AT117" s="64">
        <f>SUM(AK118:AK121)</f>
        <v>0</v>
      </c>
      <c r="AU117" s="64">
        <f>SUM(AL118:AL121)</f>
        <v>0</v>
      </c>
    </row>
    <row r="118" spans="1:62" ht="12.75">
      <c r="A118" s="47" t="s">
        <v>170</v>
      </c>
      <c r="B118" s="47" t="s">
        <v>255</v>
      </c>
      <c r="C118" s="176" t="s">
        <v>377</v>
      </c>
      <c r="D118" s="172"/>
      <c r="E118" s="172"/>
      <c r="F118" s="47" t="s">
        <v>396</v>
      </c>
      <c r="G118" s="54">
        <v>150.01</v>
      </c>
      <c r="H118" s="54">
        <v>0</v>
      </c>
      <c r="I118" s="54">
        <f>G118*AO118</f>
        <v>0</v>
      </c>
      <c r="J118" s="54">
        <f>G118*AP118</f>
        <v>0</v>
      </c>
      <c r="K118" s="54">
        <f>G118*H118</f>
        <v>0</v>
      </c>
      <c r="L118" s="54">
        <f>G118*118</f>
        <v>17701.18</v>
      </c>
      <c r="Z118" s="36">
        <f>IF(AQ118="5",BJ118,0)</f>
        <v>0</v>
      </c>
      <c r="AB118" s="36">
        <f>IF(AQ118="1",BH118,0)</f>
        <v>0</v>
      </c>
      <c r="AC118" s="36">
        <f>IF(AQ118="1",BI118,0)</f>
        <v>0</v>
      </c>
      <c r="AD118" s="36">
        <f>IF(AQ118="7",BH118,0)</f>
        <v>0</v>
      </c>
      <c r="AE118" s="36">
        <f>IF(AQ118="7",BI118,0)</f>
        <v>0</v>
      </c>
      <c r="AF118" s="36">
        <f>IF(AQ118="2",BH118,0)</f>
        <v>0</v>
      </c>
      <c r="AG118" s="36">
        <f>IF(AQ118="2",BI118,0)</f>
        <v>0</v>
      </c>
      <c r="AH118" s="36">
        <f>IF(AQ118="0",BJ118,0)</f>
        <v>0</v>
      </c>
      <c r="AI118" s="59" t="s">
        <v>70</v>
      </c>
      <c r="AJ118" s="54">
        <f>IF(AN118=0,K118,0)</f>
        <v>0</v>
      </c>
      <c r="AK118" s="54">
        <f>IF(AN118=15,K118,0)</f>
        <v>0</v>
      </c>
      <c r="AL118" s="54">
        <f>IF(AN118=21,K118,0)</f>
        <v>0</v>
      </c>
      <c r="AN118" s="36">
        <v>21</v>
      </c>
      <c r="AO118" s="36">
        <f>H118*0.326405616516285</f>
        <v>0</v>
      </c>
      <c r="AP118" s="36">
        <f>H118*(1-0.326405616516285)</f>
        <v>0</v>
      </c>
      <c r="AQ118" s="60" t="s">
        <v>83</v>
      </c>
      <c r="AV118" s="36">
        <f>AW118+AX118</f>
        <v>0</v>
      </c>
      <c r="AW118" s="36">
        <f>G118*AO118</f>
        <v>0</v>
      </c>
      <c r="AX118" s="36">
        <f>G118*AP118</f>
        <v>0</v>
      </c>
      <c r="AY118" s="62" t="s">
        <v>434</v>
      </c>
      <c r="AZ118" s="62" t="s">
        <v>446</v>
      </c>
      <c r="BA118" s="59" t="s">
        <v>447</v>
      </c>
      <c r="BC118" s="36">
        <f>AW118+AX118</f>
        <v>0</v>
      </c>
      <c r="BD118" s="36">
        <f>H118/(100-BE118)*100</f>
        <v>0</v>
      </c>
      <c r="BE118" s="36">
        <v>0</v>
      </c>
      <c r="BF118" s="36">
        <f>L118</f>
        <v>17701.18</v>
      </c>
      <c r="BH118" s="54">
        <f>G118*AO118</f>
        <v>0</v>
      </c>
      <c r="BI118" s="54">
        <f>G118*AP118</f>
        <v>0</v>
      </c>
      <c r="BJ118" s="54">
        <f>G118*H118</f>
        <v>0</v>
      </c>
    </row>
    <row r="119" spans="1:62" ht="12.75">
      <c r="A119" s="47" t="s">
        <v>171</v>
      </c>
      <c r="B119" s="47" t="s">
        <v>256</v>
      </c>
      <c r="C119" s="176" t="s">
        <v>378</v>
      </c>
      <c r="D119" s="172"/>
      <c r="E119" s="172"/>
      <c r="F119" s="47" t="s">
        <v>400</v>
      </c>
      <c r="G119" s="54">
        <v>2.7</v>
      </c>
      <c r="H119" s="54">
        <v>0</v>
      </c>
      <c r="I119" s="54">
        <f>G119*AO119</f>
        <v>0</v>
      </c>
      <c r="J119" s="54">
        <f>G119*AP119</f>
        <v>0</v>
      </c>
      <c r="K119" s="54">
        <f>G119*H119</f>
        <v>0</v>
      </c>
      <c r="L119" s="54">
        <f>G119*119</f>
        <v>321.3</v>
      </c>
      <c r="Z119" s="36">
        <f>IF(AQ119="5",BJ119,0)</f>
        <v>0</v>
      </c>
      <c r="AB119" s="36">
        <f>IF(AQ119="1",BH119,0)</f>
        <v>0</v>
      </c>
      <c r="AC119" s="36">
        <f>IF(AQ119="1",BI119,0)</f>
        <v>0</v>
      </c>
      <c r="AD119" s="36">
        <f>IF(AQ119="7",BH119,0)</f>
        <v>0</v>
      </c>
      <c r="AE119" s="36">
        <f>IF(AQ119="7",BI119,0)</f>
        <v>0</v>
      </c>
      <c r="AF119" s="36">
        <f>IF(AQ119="2",BH119,0)</f>
        <v>0</v>
      </c>
      <c r="AG119" s="36">
        <f>IF(AQ119="2",BI119,0)</f>
        <v>0</v>
      </c>
      <c r="AH119" s="36">
        <f>IF(AQ119="0",BJ119,0)</f>
        <v>0</v>
      </c>
      <c r="AI119" s="59" t="s">
        <v>70</v>
      </c>
      <c r="AJ119" s="54">
        <f>IF(AN119=0,K119,0)</f>
        <v>0</v>
      </c>
      <c r="AK119" s="54">
        <f>IF(AN119=15,K119,0)</f>
        <v>0</v>
      </c>
      <c r="AL119" s="54">
        <f>IF(AN119=21,K119,0)</f>
        <v>0</v>
      </c>
      <c r="AN119" s="36">
        <v>21</v>
      </c>
      <c r="AO119" s="36">
        <f>H119*0.166994316593683</f>
        <v>0</v>
      </c>
      <c r="AP119" s="36">
        <f>H119*(1-0.166994316593683)</f>
        <v>0</v>
      </c>
      <c r="AQ119" s="60" t="s">
        <v>83</v>
      </c>
      <c r="AV119" s="36">
        <f>AW119+AX119</f>
        <v>0</v>
      </c>
      <c r="AW119" s="36">
        <f>G119*AO119</f>
        <v>0</v>
      </c>
      <c r="AX119" s="36">
        <f>G119*AP119</f>
        <v>0</v>
      </c>
      <c r="AY119" s="62" t="s">
        <v>434</v>
      </c>
      <c r="AZ119" s="62" t="s">
        <v>446</v>
      </c>
      <c r="BA119" s="59" t="s">
        <v>447</v>
      </c>
      <c r="BC119" s="36">
        <f>AW119+AX119</f>
        <v>0</v>
      </c>
      <c r="BD119" s="36">
        <f>H119/(100-BE119)*100</f>
        <v>0</v>
      </c>
      <c r="BE119" s="36">
        <v>0</v>
      </c>
      <c r="BF119" s="36">
        <f>L119</f>
        <v>321.3</v>
      </c>
      <c r="BH119" s="54">
        <f>G119*AO119</f>
        <v>0</v>
      </c>
      <c r="BI119" s="54">
        <f>G119*AP119</f>
        <v>0</v>
      </c>
      <c r="BJ119" s="54">
        <f>G119*H119</f>
        <v>0</v>
      </c>
    </row>
    <row r="120" spans="1:62" ht="12.75">
      <c r="A120" s="47" t="s">
        <v>89</v>
      </c>
      <c r="B120" s="47" t="s">
        <v>257</v>
      </c>
      <c r="C120" s="176" t="s">
        <v>379</v>
      </c>
      <c r="D120" s="172"/>
      <c r="E120" s="172"/>
      <c r="F120" s="47" t="s">
        <v>400</v>
      </c>
      <c r="G120" s="54">
        <v>2.7</v>
      </c>
      <c r="H120" s="54">
        <v>0</v>
      </c>
      <c r="I120" s="54">
        <f>G120*AO120</f>
        <v>0</v>
      </c>
      <c r="J120" s="54">
        <f>G120*AP120</f>
        <v>0</v>
      </c>
      <c r="K120" s="54">
        <f>G120*H120</f>
        <v>0</v>
      </c>
      <c r="L120" s="54">
        <f>G120*120</f>
        <v>324</v>
      </c>
      <c r="Z120" s="36">
        <f>IF(AQ120="5",BJ120,0)</f>
        <v>0</v>
      </c>
      <c r="AB120" s="36">
        <f>IF(AQ120="1",BH120,0)</f>
        <v>0</v>
      </c>
      <c r="AC120" s="36">
        <f>IF(AQ120="1",BI120,0)</f>
        <v>0</v>
      </c>
      <c r="AD120" s="36">
        <f>IF(AQ120="7",BH120,0)</f>
        <v>0</v>
      </c>
      <c r="AE120" s="36">
        <f>IF(AQ120="7",BI120,0)</f>
        <v>0</v>
      </c>
      <c r="AF120" s="36">
        <f>IF(AQ120="2",BH120,0)</f>
        <v>0</v>
      </c>
      <c r="AG120" s="36">
        <f>IF(AQ120="2",BI120,0)</f>
        <v>0</v>
      </c>
      <c r="AH120" s="36">
        <f>IF(AQ120="0",BJ120,0)</f>
        <v>0</v>
      </c>
      <c r="AI120" s="59" t="s">
        <v>70</v>
      </c>
      <c r="AJ120" s="54">
        <f>IF(AN120=0,K120,0)</f>
        <v>0</v>
      </c>
      <c r="AK120" s="54">
        <f>IF(AN120=15,K120,0)</f>
        <v>0</v>
      </c>
      <c r="AL120" s="54">
        <f>IF(AN120=21,K120,0)</f>
        <v>0</v>
      </c>
      <c r="AN120" s="36">
        <v>21</v>
      </c>
      <c r="AO120" s="36">
        <f>H120*0</f>
        <v>0</v>
      </c>
      <c r="AP120" s="36">
        <f>H120*(1-0)</f>
        <v>0</v>
      </c>
      <c r="AQ120" s="60" t="s">
        <v>83</v>
      </c>
      <c r="AV120" s="36">
        <f>AW120+AX120</f>
        <v>0</v>
      </c>
      <c r="AW120" s="36">
        <f>G120*AO120</f>
        <v>0</v>
      </c>
      <c r="AX120" s="36">
        <f>G120*AP120</f>
        <v>0</v>
      </c>
      <c r="AY120" s="62" t="s">
        <v>434</v>
      </c>
      <c r="AZ120" s="62" t="s">
        <v>446</v>
      </c>
      <c r="BA120" s="59" t="s">
        <v>447</v>
      </c>
      <c r="BC120" s="36">
        <f>AW120+AX120</f>
        <v>0</v>
      </c>
      <c r="BD120" s="36">
        <f>H120/(100-BE120)*100</f>
        <v>0</v>
      </c>
      <c r="BE120" s="36">
        <v>0</v>
      </c>
      <c r="BF120" s="36">
        <f>L120</f>
        <v>324</v>
      </c>
      <c r="BH120" s="54">
        <f>G120*AO120</f>
        <v>0</v>
      </c>
      <c r="BI120" s="54">
        <f>G120*AP120</f>
        <v>0</v>
      </c>
      <c r="BJ120" s="54">
        <f>G120*H120</f>
        <v>0</v>
      </c>
    </row>
    <row r="121" spans="1:62" ht="12.75">
      <c r="A121" s="48" t="s">
        <v>172</v>
      </c>
      <c r="B121" s="48" t="s">
        <v>258</v>
      </c>
      <c r="C121" s="183" t="s">
        <v>380</v>
      </c>
      <c r="D121" s="184"/>
      <c r="E121" s="184"/>
      <c r="F121" s="48" t="s">
        <v>401</v>
      </c>
      <c r="G121" s="55">
        <v>5</v>
      </c>
      <c r="H121" s="55">
        <v>0</v>
      </c>
      <c r="I121" s="55">
        <f>G121*AO121</f>
        <v>0</v>
      </c>
      <c r="J121" s="55">
        <f>G121*AP121</f>
        <v>0</v>
      </c>
      <c r="K121" s="55">
        <f>G121*H121</f>
        <v>0</v>
      </c>
      <c r="L121" s="55">
        <f>G121*121</f>
        <v>605</v>
      </c>
      <c r="Z121" s="36">
        <f>IF(AQ121="5",BJ121,0)</f>
        <v>0</v>
      </c>
      <c r="AB121" s="36">
        <f>IF(AQ121="1",BH121,0)</f>
        <v>0</v>
      </c>
      <c r="AC121" s="36">
        <f>IF(AQ121="1",BI121,0)</f>
        <v>0</v>
      </c>
      <c r="AD121" s="36">
        <f>IF(AQ121="7",BH121,0)</f>
        <v>0</v>
      </c>
      <c r="AE121" s="36">
        <f>IF(AQ121="7",BI121,0)</f>
        <v>0</v>
      </c>
      <c r="AF121" s="36">
        <f>IF(AQ121="2",BH121,0)</f>
        <v>0</v>
      </c>
      <c r="AG121" s="36">
        <f>IF(AQ121="2",BI121,0)</f>
        <v>0</v>
      </c>
      <c r="AH121" s="36">
        <f>IF(AQ121="0",BJ121,0)</f>
        <v>0</v>
      </c>
      <c r="AI121" s="59" t="s">
        <v>70</v>
      </c>
      <c r="AJ121" s="55">
        <f>IF(AN121=0,K121,0)</f>
        <v>0</v>
      </c>
      <c r="AK121" s="55">
        <f>IF(AN121=15,K121,0)</f>
        <v>0</v>
      </c>
      <c r="AL121" s="55">
        <f>IF(AN121=21,K121,0)</f>
        <v>0</v>
      </c>
      <c r="AN121" s="36">
        <v>21</v>
      </c>
      <c r="AO121" s="36">
        <f>H121*1</f>
        <v>0</v>
      </c>
      <c r="AP121" s="36">
        <f>H121*(1-1)</f>
        <v>0</v>
      </c>
      <c r="AQ121" s="61" t="s">
        <v>83</v>
      </c>
      <c r="AV121" s="36">
        <f>AW121+AX121</f>
        <v>0</v>
      </c>
      <c r="AW121" s="36">
        <f>G121*AO121</f>
        <v>0</v>
      </c>
      <c r="AX121" s="36">
        <f>G121*AP121</f>
        <v>0</v>
      </c>
      <c r="AY121" s="62" t="s">
        <v>434</v>
      </c>
      <c r="AZ121" s="62" t="s">
        <v>446</v>
      </c>
      <c r="BA121" s="59" t="s">
        <v>447</v>
      </c>
      <c r="BC121" s="36">
        <f>AW121+AX121</f>
        <v>0</v>
      </c>
      <c r="BD121" s="36">
        <f>H121/(100-BE121)*100</f>
        <v>0</v>
      </c>
      <c r="BE121" s="36">
        <v>0</v>
      </c>
      <c r="BF121" s="36">
        <f>L121</f>
        <v>605</v>
      </c>
      <c r="BH121" s="55">
        <f>G121*AO121</f>
        <v>0</v>
      </c>
      <c r="BI121" s="55">
        <f>G121*AP121</f>
        <v>0</v>
      </c>
      <c r="BJ121" s="55">
        <f>G121*H121</f>
        <v>0</v>
      </c>
    </row>
    <row r="122" spans="1:47" ht="12.75">
      <c r="A122" s="75"/>
      <c r="B122" s="76" t="s">
        <v>259</v>
      </c>
      <c r="C122" s="181" t="s">
        <v>381</v>
      </c>
      <c r="D122" s="180"/>
      <c r="E122" s="182"/>
      <c r="F122" s="75" t="s">
        <v>68</v>
      </c>
      <c r="G122" s="75" t="s">
        <v>68</v>
      </c>
      <c r="H122" s="75" t="s">
        <v>68</v>
      </c>
      <c r="I122" s="81">
        <f>SUM(I123:I125)</f>
        <v>0</v>
      </c>
      <c r="J122" s="81">
        <f>SUM(J123:J125)</f>
        <v>0</v>
      </c>
      <c r="K122" s="81">
        <f>SUM(K123:K125)</f>
        <v>0</v>
      </c>
      <c r="L122" s="72">
        <f>SUM(L123:L125)</f>
        <v>251.91000000000003</v>
      </c>
      <c r="AI122" s="59" t="s">
        <v>70</v>
      </c>
      <c r="AS122" s="64">
        <f>SUM(AJ123:AJ125)</f>
        <v>0</v>
      </c>
      <c r="AT122" s="64">
        <f>SUM(AK123:AK125)</f>
        <v>0</v>
      </c>
      <c r="AU122" s="64">
        <f>SUM(AL123:AL125)</f>
        <v>0</v>
      </c>
    </row>
    <row r="123" spans="1:62" ht="12.75">
      <c r="A123" s="82" t="s">
        <v>90</v>
      </c>
      <c r="B123" s="82" t="s">
        <v>260</v>
      </c>
      <c r="C123" s="171" t="s">
        <v>382</v>
      </c>
      <c r="D123" s="172"/>
      <c r="E123" s="173"/>
      <c r="F123" s="82" t="s">
        <v>397</v>
      </c>
      <c r="G123" s="83">
        <v>0.81</v>
      </c>
      <c r="H123" s="83">
        <v>0</v>
      </c>
      <c r="I123" s="83">
        <f>G123*AO123</f>
        <v>0</v>
      </c>
      <c r="J123" s="83">
        <f>G123*AP123</f>
        <v>0</v>
      </c>
      <c r="K123" s="83">
        <f>G123*H123</f>
        <v>0</v>
      </c>
      <c r="L123" s="78">
        <f>G123*123</f>
        <v>99.63000000000001</v>
      </c>
      <c r="Z123" s="36">
        <f>IF(AQ123="5",BJ123,0)</f>
        <v>0</v>
      </c>
      <c r="AB123" s="36">
        <f>IF(AQ123="1",BH123,0)</f>
        <v>0</v>
      </c>
      <c r="AC123" s="36">
        <f>IF(AQ123="1",BI123,0)</f>
        <v>0</v>
      </c>
      <c r="AD123" s="36">
        <f>IF(AQ123="7",BH123,0)</f>
        <v>0</v>
      </c>
      <c r="AE123" s="36">
        <f>IF(AQ123="7",BI123,0)</f>
        <v>0</v>
      </c>
      <c r="AF123" s="36">
        <f>IF(AQ123="2",BH123,0)</f>
        <v>0</v>
      </c>
      <c r="AG123" s="36">
        <f>IF(AQ123="2",BI123,0)</f>
        <v>0</v>
      </c>
      <c r="AH123" s="36">
        <f>IF(AQ123="0",BJ123,0)</f>
        <v>0</v>
      </c>
      <c r="AI123" s="59" t="s">
        <v>70</v>
      </c>
      <c r="AJ123" s="54">
        <f>IF(AN123=0,K123,0)</f>
        <v>0</v>
      </c>
      <c r="AK123" s="54">
        <f>IF(AN123=15,K123,0)</f>
        <v>0</v>
      </c>
      <c r="AL123" s="54">
        <f>IF(AN123=21,K123,0)</f>
        <v>0</v>
      </c>
      <c r="AN123" s="36">
        <v>21</v>
      </c>
      <c r="AO123" s="36">
        <f>H123*0.048656</f>
        <v>0</v>
      </c>
      <c r="AP123" s="36">
        <f>H123*(1-0.048656)</f>
        <v>0</v>
      </c>
      <c r="AQ123" s="60" t="s">
        <v>83</v>
      </c>
      <c r="AV123" s="36">
        <f>AW123+AX123</f>
        <v>0</v>
      </c>
      <c r="AW123" s="36">
        <f>G123*AO123</f>
        <v>0</v>
      </c>
      <c r="AX123" s="36">
        <f>G123*AP123</f>
        <v>0</v>
      </c>
      <c r="AY123" s="62" t="s">
        <v>435</v>
      </c>
      <c r="AZ123" s="62" t="s">
        <v>446</v>
      </c>
      <c r="BA123" s="59" t="s">
        <v>447</v>
      </c>
      <c r="BC123" s="36">
        <f>AW123+AX123</f>
        <v>0</v>
      </c>
      <c r="BD123" s="36">
        <f>H123/(100-BE123)*100</f>
        <v>0</v>
      </c>
      <c r="BE123" s="36">
        <v>0</v>
      </c>
      <c r="BF123" s="36">
        <f>L123</f>
        <v>99.63000000000001</v>
      </c>
      <c r="BH123" s="54">
        <f>G123*AO123</f>
        <v>0</v>
      </c>
      <c r="BI123" s="54">
        <f>G123*AP123</f>
        <v>0</v>
      </c>
      <c r="BJ123" s="54">
        <f>G123*H123</f>
        <v>0</v>
      </c>
    </row>
    <row r="124" spans="1:62" ht="12.75">
      <c r="A124" s="77" t="s">
        <v>173</v>
      </c>
      <c r="B124" s="77" t="s">
        <v>261</v>
      </c>
      <c r="C124" s="174" t="s">
        <v>383</v>
      </c>
      <c r="D124" s="172"/>
      <c r="E124" s="175"/>
      <c r="F124" s="77" t="s">
        <v>397</v>
      </c>
      <c r="G124" s="80">
        <v>0.22</v>
      </c>
      <c r="H124" s="80">
        <v>0</v>
      </c>
      <c r="I124" s="80">
        <f>G124*AO124</f>
        <v>0</v>
      </c>
      <c r="J124" s="80">
        <f>G124*AP124</f>
        <v>0</v>
      </c>
      <c r="K124" s="80">
        <f>G124*H124</f>
        <v>0</v>
      </c>
      <c r="L124" s="79">
        <f>G124*124</f>
        <v>27.28</v>
      </c>
      <c r="Z124" s="36">
        <f>IF(AQ124="5",BJ124,0)</f>
        <v>0</v>
      </c>
      <c r="AB124" s="36">
        <f>IF(AQ124="1",BH124,0)</f>
        <v>0</v>
      </c>
      <c r="AC124" s="36">
        <f>IF(AQ124="1",BI124,0)</f>
        <v>0</v>
      </c>
      <c r="AD124" s="36">
        <f>IF(AQ124="7",BH124,0)</f>
        <v>0</v>
      </c>
      <c r="AE124" s="36">
        <f>IF(AQ124="7",BI124,0)</f>
        <v>0</v>
      </c>
      <c r="AF124" s="36">
        <f>IF(AQ124="2",BH124,0)</f>
        <v>0</v>
      </c>
      <c r="AG124" s="36">
        <f>IF(AQ124="2",BI124,0)</f>
        <v>0</v>
      </c>
      <c r="AH124" s="36">
        <f>IF(AQ124="0",BJ124,0)</f>
        <v>0</v>
      </c>
      <c r="AI124" s="59" t="s">
        <v>70</v>
      </c>
      <c r="AJ124" s="54">
        <f>IF(AN124=0,K124,0)</f>
        <v>0</v>
      </c>
      <c r="AK124" s="54">
        <f>IF(AN124=15,K124,0)</f>
        <v>0</v>
      </c>
      <c r="AL124" s="54">
        <f>IF(AN124=21,K124,0)</f>
        <v>0</v>
      </c>
      <c r="AN124" s="36">
        <v>21</v>
      </c>
      <c r="AO124" s="36">
        <f>H124*0</f>
        <v>0</v>
      </c>
      <c r="AP124" s="36">
        <f>H124*(1-0)</f>
        <v>0</v>
      </c>
      <c r="AQ124" s="60" t="s">
        <v>83</v>
      </c>
      <c r="AV124" s="36">
        <f>AW124+AX124</f>
        <v>0</v>
      </c>
      <c r="AW124" s="36">
        <f>G124*AO124</f>
        <v>0</v>
      </c>
      <c r="AX124" s="36">
        <f>G124*AP124</f>
        <v>0</v>
      </c>
      <c r="AY124" s="62" t="s">
        <v>435</v>
      </c>
      <c r="AZ124" s="62" t="s">
        <v>446</v>
      </c>
      <c r="BA124" s="59" t="s">
        <v>447</v>
      </c>
      <c r="BC124" s="36">
        <f>AW124+AX124</f>
        <v>0</v>
      </c>
      <c r="BD124" s="36">
        <f>H124/(100-BE124)*100</f>
        <v>0</v>
      </c>
      <c r="BE124" s="36">
        <v>0</v>
      </c>
      <c r="BF124" s="36">
        <f>L124</f>
        <v>27.28</v>
      </c>
      <c r="BH124" s="54">
        <f>G124*AO124</f>
        <v>0</v>
      </c>
      <c r="BI124" s="54">
        <f>G124*AP124</f>
        <v>0</v>
      </c>
      <c r="BJ124" s="54">
        <f>G124*H124</f>
        <v>0</v>
      </c>
    </row>
    <row r="125" spans="1:62" ht="12.75">
      <c r="A125" s="47" t="s">
        <v>174</v>
      </c>
      <c r="B125" s="47" t="s">
        <v>262</v>
      </c>
      <c r="C125" s="176" t="s">
        <v>384</v>
      </c>
      <c r="D125" s="172"/>
      <c r="E125" s="172"/>
      <c r="F125" s="47" t="s">
        <v>399</v>
      </c>
      <c r="G125" s="54">
        <v>1</v>
      </c>
      <c r="H125" s="54">
        <v>0</v>
      </c>
      <c r="I125" s="54">
        <f>G125*AO125</f>
        <v>0</v>
      </c>
      <c r="J125" s="54">
        <f>G125*AP125</f>
        <v>0</v>
      </c>
      <c r="K125" s="54">
        <f>G125*H125</f>
        <v>0</v>
      </c>
      <c r="L125" s="54">
        <f>G125*125</f>
        <v>125</v>
      </c>
      <c r="Z125" s="36">
        <f>IF(AQ125="5",BJ125,0)</f>
        <v>0</v>
      </c>
      <c r="AB125" s="36">
        <f>IF(AQ125="1",BH125,0)</f>
        <v>0</v>
      </c>
      <c r="AC125" s="36">
        <f>IF(AQ125="1",BI125,0)</f>
        <v>0</v>
      </c>
      <c r="AD125" s="36">
        <f>IF(AQ125="7",BH125,0)</f>
        <v>0</v>
      </c>
      <c r="AE125" s="36">
        <f>IF(AQ125="7",BI125,0)</f>
        <v>0</v>
      </c>
      <c r="AF125" s="36">
        <f>IF(AQ125="2",BH125,0)</f>
        <v>0</v>
      </c>
      <c r="AG125" s="36">
        <f>IF(AQ125="2",BI125,0)</f>
        <v>0</v>
      </c>
      <c r="AH125" s="36">
        <f>IF(AQ125="0",BJ125,0)</f>
        <v>0</v>
      </c>
      <c r="AI125" s="59" t="s">
        <v>70</v>
      </c>
      <c r="AJ125" s="54">
        <f>IF(AN125=0,K125,0)</f>
        <v>0</v>
      </c>
      <c r="AK125" s="54">
        <f>IF(AN125=15,K125,0)</f>
        <v>0</v>
      </c>
      <c r="AL125" s="54">
        <f>IF(AN125=21,K125,0)</f>
        <v>0</v>
      </c>
      <c r="AN125" s="36">
        <v>21</v>
      </c>
      <c r="AO125" s="36">
        <f>H125*0</f>
        <v>0</v>
      </c>
      <c r="AP125" s="36">
        <f>H125*(1-0)</f>
        <v>0</v>
      </c>
      <c r="AQ125" s="60" t="s">
        <v>83</v>
      </c>
      <c r="AV125" s="36">
        <f>AW125+AX125</f>
        <v>0</v>
      </c>
      <c r="AW125" s="36">
        <f>G125*AO125</f>
        <v>0</v>
      </c>
      <c r="AX125" s="36">
        <f>G125*AP125</f>
        <v>0</v>
      </c>
      <c r="AY125" s="62" t="s">
        <v>435</v>
      </c>
      <c r="AZ125" s="62" t="s">
        <v>446</v>
      </c>
      <c r="BA125" s="59" t="s">
        <v>447</v>
      </c>
      <c r="BC125" s="36">
        <f>AW125+AX125</f>
        <v>0</v>
      </c>
      <c r="BD125" s="36">
        <f>H125/(100-BE125)*100</f>
        <v>0</v>
      </c>
      <c r="BE125" s="36">
        <v>0</v>
      </c>
      <c r="BF125" s="36">
        <f>L125</f>
        <v>125</v>
      </c>
      <c r="BH125" s="54">
        <f>G125*AO125</f>
        <v>0</v>
      </c>
      <c r="BI125" s="54">
        <f>G125*AP125</f>
        <v>0</v>
      </c>
      <c r="BJ125" s="54">
        <f>G125*H125</f>
        <v>0</v>
      </c>
    </row>
    <row r="126" spans="1:47" ht="12.75">
      <c r="A126" s="46"/>
      <c r="B126" s="52" t="s">
        <v>263</v>
      </c>
      <c r="C126" s="179" t="s">
        <v>385</v>
      </c>
      <c r="D126" s="180"/>
      <c r="E126" s="180"/>
      <c r="F126" s="46" t="s">
        <v>68</v>
      </c>
      <c r="G126" s="46" t="s">
        <v>68</v>
      </c>
      <c r="H126" s="46" t="s">
        <v>68</v>
      </c>
      <c r="I126" s="64">
        <f>SUM(I127:I127)</f>
        <v>0</v>
      </c>
      <c r="J126" s="64">
        <f>SUM(J127:J127)</f>
        <v>0</v>
      </c>
      <c r="K126" s="64">
        <f>SUM(K127:K127)</f>
        <v>0</v>
      </c>
      <c r="L126" s="64">
        <f>SUM(L127:L127)</f>
        <v>19051.27</v>
      </c>
      <c r="AI126" s="59" t="s">
        <v>70</v>
      </c>
      <c r="AS126" s="64">
        <f>SUM(AJ127:AJ127)</f>
        <v>0</v>
      </c>
      <c r="AT126" s="64">
        <f>SUM(AK127:AK127)</f>
        <v>0</v>
      </c>
      <c r="AU126" s="64">
        <f>SUM(AL127:AL127)</f>
        <v>0</v>
      </c>
    </row>
    <row r="127" spans="1:62" ht="12.75">
      <c r="A127" s="47" t="s">
        <v>175</v>
      </c>
      <c r="B127" s="47" t="s">
        <v>264</v>
      </c>
      <c r="C127" s="176" t="s">
        <v>386</v>
      </c>
      <c r="D127" s="172"/>
      <c r="E127" s="172"/>
      <c r="F127" s="47" t="s">
        <v>396</v>
      </c>
      <c r="G127" s="54">
        <v>150.01</v>
      </c>
      <c r="H127" s="54">
        <v>0</v>
      </c>
      <c r="I127" s="54">
        <f>G127*AO127</f>
        <v>0</v>
      </c>
      <c r="J127" s="54">
        <f>G127*AP127</f>
        <v>0</v>
      </c>
      <c r="K127" s="54">
        <f>G127*H127</f>
        <v>0</v>
      </c>
      <c r="L127" s="54">
        <f>G127*127</f>
        <v>19051.27</v>
      </c>
      <c r="Z127" s="36">
        <f>IF(AQ127="5",BJ127,0)</f>
        <v>0</v>
      </c>
      <c r="AB127" s="36">
        <f>IF(AQ127="1",BH127,0)</f>
        <v>0</v>
      </c>
      <c r="AC127" s="36">
        <f>IF(AQ127="1",BI127,0)</f>
        <v>0</v>
      </c>
      <c r="AD127" s="36">
        <f>IF(AQ127="7",BH127,0)</f>
        <v>0</v>
      </c>
      <c r="AE127" s="36">
        <f>IF(AQ127="7",BI127,0)</f>
        <v>0</v>
      </c>
      <c r="AF127" s="36">
        <f>IF(AQ127="2",BH127,0)</f>
        <v>0</v>
      </c>
      <c r="AG127" s="36">
        <f>IF(AQ127="2",BI127,0)</f>
        <v>0</v>
      </c>
      <c r="AH127" s="36">
        <f>IF(AQ127="0",BJ127,0)</f>
        <v>0</v>
      </c>
      <c r="AI127" s="59" t="s">
        <v>70</v>
      </c>
      <c r="AJ127" s="54">
        <f>IF(AN127=0,K127,0)</f>
        <v>0</v>
      </c>
      <c r="AK127" s="54">
        <f>IF(AN127=15,K127,0)</f>
        <v>0</v>
      </c>
      <c r="AL127" s="54">
        <f>IF(AN127=21,K127,0)</f>
        <v>0</v>
      </c>
      <c r="AN127" s="36">
        <v>21</v>
      </c>
      <c r="AO127" s="36">
        <f>H127*0</f>
        <v>0</v>
      </c>
      <c r="AP127" s="36">
        <f>H127*(1-0)</f>
        <v>0</v>
      </c>
      <c r="AQ127" s="60" t="s">
        <v>83</v>
      </c>
      <c r="AV127" s="36">
        <f>AW127+AX127</f>
        <v>0</v>
      </c>
      <c r="AW127" s="36">
        <f>G127*AO127</f>
        <v>0</v>
      </c>
      <c r="AX127" s="36">
        <f>G127*AP127</f>
        <v>0</v>
      </c>
      <c r="AY127" s="62" t="s">
        <v>436</v>
      </c>
      <c r="AZ127" s="62" t="s">
        <v>446</v>
      </c>
      <c r="BA127" s="59" t="s">
        <v>447</v>
      </c>
      <c r="BC127" s="36">
        <f>AW127+AX127</f>
        <v>0</v>
      </c>
      <c r="BD127" s="36">
        <f>H127/(100-BE127)*100</f>
        <v>0</v>
      </c>
      <c r="BE127" s="36">
        <v>0</v>
      </c>
      <c r="BF127" s="36">
        <f>L127</f>
        <v>19051.27</v>
      </c>
      <c r="BH127" s="54">
        <f>G127*AO127</f>
        <v>0</v>
      </c>
      <c r="BI127" s="54">
        <f>G127*AP127</f>
        <v>0</v>
      </c>
      <c r="BJ127" s="54">
        <f>G127*H127</f>
        <v>0</v>
      </c>
    </row>
    <row r="128" spans="1:47" ht="12.75">
      <c r="A128" s="75"/>
      <c r="B128" s="76" t="s">
        <v>265</v>
      </c>
      <c r="C128" s="181" t="s">
        <v>387</v>
      </c>
      <c r="D128" s="180"/>
      <c r="E128" s="182"/>
      <c r="F128" s="75" t="s">
        <v>68</v>
      </c>
      <c r="G128" s="75" t="s">
        <v>68</v>
      </c>
      <c r="H128" s="75" t="s">
        <v>68</v>
      </c>
      <c r="I128" s="81">
        <f>SUM(I129:I133)</f>
        <v>0</v>
      </c>
      <c r="J128" s="81">
        <f>SUM(J129:J133)</f>
        <v>0</v>
      </c>
      <c r="K128" s="81">
        <f>SUM(K129:K133)</f>
        <v>0</v>
      </c>
      <c r="L128" s="72">
        <f>SUM(L129:L133)</f>
        <v>6916.800000000001</v>
      </c>
      <c r="AI128" s="59" t="s">
        <v>70</v>
      </c>
      <c r="AS128" s="64">
        <f>SUM(AJ129:AJ133)</f>
        <v>0</v>
      </c>
      <c r="AT128" s="64">
        <f>SUM(AK129:AK133)</f>
        <v>0</v>
      </c>
      <c r="AU128" s="64">
        <f>SUM(AL129:AL133)</f>
        <v>0</v>
      </c>
    </row>
    <row r="129" spans="1:62" ht="12.75">
      <c r="A129" s="82" t="s">
        <v>176</v>
      </c>
      <c r="B129" s="82" t="s">
        <v>266</v>
      </c>
      <c r="C129" s="171" t="s">
        <v>388</v>
      </c>
      <c r="D129" s="172"/>
      <c r="E129" s="173"/>
      <c r="F129" s="82" t="s">
        <v>398</v>
      </c>
      <c r="G129" s="83">
        <v>4.4</v>
      </c>
      <c r="H129" s="83">
        <v>0</v>
      </c>
      <c r="I129" s="83">
        <f>G129*AO129</f>
        <v>0</v>
      </c>
      <c r="J129" s="83">
        <f>G129*AP129</f>
        <v>0</v>
      </c>
      <c r="K129" s="83">
        <f>G129*H129</f>
        <v>0</v>
      </c>
      <c r="L129" s="78">
        <f>G129*129</f>
        <v>567.6</v>
      </c>
      <c r="Z129" s="36">
        <f>IF(AQ129="5",BJ129,0)</f>
        <v>0</v>
      </c>
      <c r="AB129" s="36">
        <f>IF(AQ129="1",BH129,0)</f>
        <v>0</v>
      </c>
      <c r="AC129" s="36">
        <f>IF(AQ129="1",BI129,0)</f>
        <v>0</v>
      </c>
      <c r="AD129" s="36">
        <f>IF(AQ129="7",BH129,0)</f>
        <v>0</v>
      </c>
      <c r="AE129" s="36">
        <f>IF(AQ129="7",BI129,0)</f>
        <v>0</v>
      </c>
      <c r="AF129" s="36">
        <f>IF(AQ129="2",BH129,0)</f>
        <v>0</v>
      </c>
      <c r="AG129" s="36">
        <f>IF(AQ129="2",BI129,0)</f>
        <v>0</v>
      </c>
      <c r="AH129" s="36">
        <f>IF(AQ129="0",BJ129,0)</f>
        <v>0</v>
      </c>
      <c r="AI129" s="59" t="s">
        <v>70</v>
      </c>
      <c r="AJ129" s="54">
        <f>IF(AN129=0,K129,0)</f>
        <v>0</v>
      </c>
      <c r="AK129" s="54">
        <f>IF(AN129=15,K129,0)</f>
        <v>0</v>
      </c>
      <c r="AL129" s="54">
        <f>IF(AN129=21,K129,0)</f>
        <v>0</v>
      </c>
      <c r="AN129" s="36">
        <v>21</v>
      </c>
      <c r="AO129" s="36">
        <f>H129*0</f>
        <v>0</v>
      </c>
      <c r="AP129" s="36">
        <f>H129*(1-0)</f>
        <v>0</v>
      </c>
      <c r="AQ129" s="60" t="s">
        <v>86</v>
      </c>
      <c r="AV129" s="36">
        <f>AW129+AX129</f>
        <v>0</v>
      </c>
      <c r="AW129" s="36">
        <f>G129*AO129</f>
        <v>0</v>
      </c>
      <c r="AX129" s="36">
        <f>G129*AP129</f>
        <v>0</v>
      </c>
      <c r="AY129" s="62" t="s">
        <v>437</v>
      </c>
      <c r="AZ129" s="62" t="s">
        <v>446</v>
      </c>
      <c r="BA129" s="59" t="s">
        <v>447</v>
      </c>
      <c r="BC129" s="36">
        <f>AW129+AX129</f>
        <v>0</v>
      </c>
      <c r="BD129" s="36">
        <f>H129/(100-BE129)*100</f>
        <v>0</v>
      </c>
      <c r="BE129" s="36">
        <v>0</v>
      </c>
      <c r="BF129" s="36">
        <f>L129</f>
        <v>567.6</v>
      </c>
      <c r="BH129" s="54">
        <f>G129*AO129</f>
        <v>0</v>
      </c>
      <c r="BI129" s="54">
        <f>G129*AP129</f>
        <v>0</v>
      </c>
      <c r="BJ129" s="54">
        <f>G129*H129</f>
        <v>0</v>
      </c>
    </row>
    <row r="130" spans="1:62" ht="12.75">
      <c r="A130" s="77" t="s">
        <v>177</v>
      </c>
      <c r="B130" s="77" t="s">
        <v>267</v>
      </c>
      <c r="C130" s="174" t="s">
        <v>389</v>
      </c>
      <c r="D130" s="172"/>
      <c r="E130" s="175"/>
      <c r="F130" s="77" t="s">
        <v>398</v>
      </c>
      <c r="G130" s="80">
        <v>4.4</v>
      </c>
      <c r="H130" s="80">
        <v>0</v>
      </c>
      <c r="I130" s="80">
        <f>G130*AO130</f>
        <v>0</v>
      </c>
      <c r="J130" s="80">
        <f>G130*AP130</f>
        <v>0</v>
      </c>
      <c r="K130" s="80">
        <f>G130*H130</f>
        <v>0</v>
      </c>
      <c r="L130" s="79">
        <f>G130*130</f>
        <v>572</v>
      </c>
      <c r="Z130" s="36">
        <f>IF(AQ130="5",BJ130,0)</f>
        <v>0</v>
      </c>
      <c r="AB130" s="36">
        <f>IF(AQ130="1",BH130,0)</f>
        <v>0</v>
      </c>
      <c r="AC130" s="36">
        <f>IF(AQ130="1",BI130,0)</f>
        <v>0</v>
      </c>
      <c r="AD130" s="36">
        <f>IF(AQ130="7",BH130,0)</f>
        <v>0</v>
      </c>
      <c r="AE130" s="36">
        <f>IF(AQ130="7",BI130,0)</f>
        <v>0</v>
      </c>
      <c r="AF130" s="36">
        <f>IF(AQ130="2",BH130,0)</f>
        <v>0</v>
      </c>
      <c r="AG130" s="36">
        <f>IF(AQ130="2",BI130,0)</f>
        <v>0</v>
      </c>
      <c r="AH130" s="36">
        <f>IF(AQ130="0",BJ130,0)</f>
        <v>0</v>
      </c>
      <c r="AI130" s="59" t="s">
        <v>70</v>
      </c>
      <c r="AJ130" s="54">
        <f>IF(AN130=0,K130,0)</f>
        <v>0</v>
      </c>
      <c r="AK130" s="54">
        <f>IF(AN130=15,K130,0)</f>
        <v>0</v>
      </c>
      <c r="AL130" s="54">
        <f>IF(AN130=21,K130,0)</f>
        <v>0</v>
      </c>
      <c r="AN130" s="36">
        <v>21</v>
      </c>
      <c r="AO130" s="36">
        <f>H130*0</f>
        <v>0</v>
      </c>
      <c r="AP130" s="36">
        <f>H130*(1-0)</f>
        <v>0</v>
      </c>
      <c r="AQ130" s="60" t="s">
        <v>86</v>
      </c>
      <c r="AV130" s="36">
        <f>AW130+AX130</f>
        <v>0</v>
      </c>
      <c r="AW130" s="36">
        <f>G130*AO130</f>
        <v>0</v>
      </c>
      <c r="AX130" s="36">
        <f>G130*AP130</f>
        <v>0</v>
      </c>
      <c r="AY130" s="62" t="s">
        <v>437</v>
      </c>
      <c r="AZ130" s="62" t="s">
        <v>446</v>
      </c>
      <c r="BA130" s="59" t="s">
        <v>447</v>
      </c>
      <c r="BC130" s="36">
        <f>AW130+AX130</f>
        <v>0</v>
      </c>
      <c r="BD130" s="36">
        <f>H130/(100-BE130)*100</f>
        <v>0</v>
      </c>
      <c r="BE130" s="36">
        <v>0</v>
      </c>
      <c r="BF130" s="36">
        <f>L130</f>
        <v>572</v>
      </c>
      <c r="BH130" s="54">
        <f>G130*AO130</f>
        <v>0</v>
      </c>
      <c r="BI130" s="54">
        <f>G130*AP130</f>
        <v>0</v>
      </c>
      <c r="BJ130" s="54">
        <f>G130*H130</f>
        <v>0</v>
      </c>
    </row>
    <row r="131" spans="1:62" ht="12.75">
      <c r="A131" s="47" t="s">
        <v>178</v>
      </c>
      <c r="B131" s="47" t="s">
        <v>268</v>
      </c>
      <c r="C131" s="176" t="s">
        <v>390</v>
      </c>
      <c r="D131" s="172"/>
      <c r="E131" s="172"/>
      <c r="F131" s="47" t="s">
        <v>398</v>
      </c>
      <c r="G131" s="54">
        <v>35.2</v>
      </c>
      <c r="H131" s="54">
        <v>0</v>
      </c>
      <c r="I131" s="54">
        <f>G131*AO131</f>
        <v>0</v>
      </c>
      <c r="J131" s="54">
        <f>G131*AP131</f>
        <v>0</v>
      </c>
      <c r="K131" s="54">
        <f>G131*H131</f>
        <v>0</v>
      </c>
      <c r="L131" s="54">
        <f>G131*131</f>
        <v>4611.200000000001</v>
      </c>
      <c r="Z131" s="36">
        <f>IF(AQ131="5",BJ131,0)</f>
        <v>0</v>
      </c>
      <c r="AB131" s="36">
        <f>IF(AQ131="1",BH131,0)</f>
        <v>0</v>
      </c>
      <c r="AC131" s="36">
        <f>IF(AQ131="1",BI131,0)</f>
        <v>0</v>
      </c>
      <c r="AD131" s="36">
        <f>IF(AQ131="7",BH131,0)</f>
        <v>0</v>
      </c>
      <c r="AE131" s="36">
        <f>IF(AQ131="7",BI131,0)</f>
        <v>0</v>
      </c>
      <c r="AF131" s="36">
        <f>IF(AQ131="2",BH131,0)</f>
        <v>0</v>
      </c>
      <c r="AG131" s="36">
        <f>IF(AQ131="2",BI131,0)</f>
        <v>0</v>
      </c>
      <c r="AH131" s="36">
        <f>IF(AQ131="0",BJ131,0)</f>
        <v>0</v>
      </c>
      <c r="AI131" s="59" t="s">
        <v>70</v>
      </c>
      <c r="AJ131" s="54">
        <f>IF(AN131=0,K131,0)</f>
        <v>0</v>
      </c>
      <c r="AK131" s="54">
        <f>IF(AN131=15,K131,0)</f>
        <v>0</v>
      </c>
      <c r="AL131" s="54">
        <f>IF(AN131=21,K131,0)</f>
        <v>0</v>
      </c>
      <c r="AN131" s="36">
        <v>21</v>
      </c>
      <c r="AO131" s="36">
        <f>H131*0</f>
        <v>0</v>
      </c>
      <c r="AP131" s="36">
        <f>H131*(1-0)</f>
        <v>0</v>
      </c>
      <c r="AQ131" s="60" t="s">
        <v>86</v>
      </c>
      <c r="AV131" s="36">
        <f>AW131+AX131</f>
        <v>0</v>
      </c>
      <c r="AW131" s="36">
        <f>G131*AO131</f>
        <v>0</v>
      </c>
      <c r="AX131" s="36">
        <f>G131*AP131</f>
        <v>0</v>
      </c>
      <c r="AY131" s="62" t="s">
        <v>437</v>
      </c>
      <c r="AZ131" s="62" t="s">
        <v>446</v>
      </c>
      <c r="BA131" s="59" t="s">
        <v>447</v>
      </c>
      <c r="BC131" s="36">
        <f>AW131+AX131</f>
        <v>0</v>
      </c>
      <c r="BD131" s="36">
        <f>H131/(100-BE131)*100</f>
        <v>0</v>
      </c>
      <c r="BE131" s="36">
        <v>0</v>
      </c>
      <c r="BF131" s="36">
        <f>L131</f>
        <v>4611.200000000001</v>
      </c>
      <c r="BH131" s="54">
        <f>G131*AO131</f>
        <v>0</v>
      </c>
      <c r="BI131" s="54">
        <f>G131*AP131</f>
        <v>0</v>
      </c>
      <c r="BJ131" s="54">
        <f>G131*H131</f>
        <v>0</v>
      </c>
    </row>
    <row r="132" spans="1:62" ht="12.75">
      <c r="A132" s="82" t="s">
        <v>179</v>
      </c>
      <c r="B132" s="82" t="s">
        <v>269</v>
      </c>
      <c r="C132" s="171" t="s">
        <v>391</v>
      </c>
      <c r="D132" s="172"/>
      <c r="E132" s="173"/>
      <c r="F132" s="82" t="s">
        <v>398</v>
      </c>
      <c r="G132" s="83">
        <v>4.4</v>
      </c>
      <c r="H132" s="83">
        <v>0</v>
      </c>
      <c r="I132" s="83">
        <f>G132*AO132</f>
        <v>0</v>
      </c>
      <c r="J132" s="83">
        <f>G132*AP132</f>
        <v>0</v>
      </c>
      <c r="K132" s="83">
        <f>G132*H132</f>
        <v>0</v>
      </c>
      <c r="L132" s="78">
        <f>G132*132</f>
        <v>580.8000000000001</v>
      </c>
      <c r="Z132" s="36">
        <f>IF(AQ132="5",BJ132,0)</f>
        <v>0</v>
      </c>
      <c r="AB132" s="36">
        <f>IF(AQ132="1",BH132,0)</f>
        <v>0</v>
      </c>
      <c r="AC132" s="36">
        <f>IF(AQ132="1",BI132,0)</f>
        <v>0</v>
      </c>
      <c r="AD132" s="36">
        <f>IF(AQ132="7",BH132,0)</f>
        <v>0</v>
      </c>
      <c r="AE132" s="36">
        <f>IF(AQ132="7",BI132,0)</f>
        <v>0</v>
      </c>
      <c r="AF132" s="36">
        <f>IF(AQ132="2",BH132,0)</f>
        <v>0</v>
      </c>
      <c r="AG132" s="36">
        <f>IF(AQ132="2",BI132,0)</f>
        <v>0</v>
      </c>
      <c r="AH132" s="36">
        <f>IF(AQ132="0",BJ132,0)</f>
        <v>0</v>
      </c>
      <c r="AI132" s="59" t="s">
        <v>70</v>
      </c>
      <c r="AJ132" s="54">
        <f>IF(AN132=0,K132,0)</f>
        <v>0</v>
      </c>
      <c r="AK132" s="54">
        <f>IF(AN132=15,K132,0)</f>
        <v>0</v>
      </c>
      <c r="AL132" s="54">
        <f>IF(AN132=21,K132,0)</f>
        <v>0</v>
      </c>
      <c r="AN132" s="36">
        <v>21</v>
      </c>
      <c r="AO132" s="36">
        <f>H132*0</f>
        <v>0</v>
      </c>
      <c r="AP132" s="36">
        <f>H132*(1-0)</f>
        <v>0</v>
      </c>
      <c r="AQ132" s="60" t="s">
        <v>86</v>
      </c>
      <c r="AV132" s="36">
        <f>AW132+AX132</f>
        <v>0</v>
      </c>
      <c r="AW132" s="36">
        <f>G132*AO132</f>
        <v>0</v>
      </c>
      <c r="AX132" s="36">
        <f>G132*AP132</f>
        <v>0</v>
      </c>
      <c r="AY132" s="62" t="s">
        <v>437</v>
      </c>
      <c r="AZ132" s="62" t="s">
        <v>446</v>
      </c>
      <c r="BA132" s="59" t="s">
        <v>447</v>
      </c>
      <c r="BC132" s="36">
        <f>AW132+AX132</f>
        <v>0</v>
      </c>
      <c r="BD132" s="36">
        <f>H132/(100-BE132)*100</f>
        <v>0</v>
      </c>
      <c r="BE132" s="36">
        <v>0</v>
      </c>
      <c r="BF132" s="36">
        <f>L132</f>
        <v>580.8000000000001</v>
      </c>
      <c r="BH132" s="54">
        <f>G132*AO132</f>
        <v>0</v>
      </c>
      <c r="BI132" s="54">
        <f>G132*AP132</f>
        <v>0</v>
      </c>
      <c r="BJ132" s="54">
        <f>G132*H132</f>
        <v>0</v>
      </c>
    </row>
    <row r="133" spans="1:62" ht="12.75">
      <c r="A133" s="77" t="s">
        <v>54</v>
      </c>
      <c r="B133" s="77" t="s">
        <v>270</v>
      </c>
      <c r="C133" s="174" t="s">
        <v>392</v>
      </c>
      <c r="D133" s="177"/>
      <c r="E133" s="175"/>
      <c r="F133" s="77" t="s">
        <v>398</v>
      </c>
      <c r="G133" s="80">
        <v>4.4</v>
      </c>
      <c r="H133" s="80">
        <v>0</v>
      </c>
      <c r="I133" s="80">
        <f>G133*AO133</f>
        <v>0</v>
      </c>
      <c r="J133" s="80">
        <f>G133*AP133</f>
        <v>0</v>
      </c>
      <c r="K133" s="80">
        <f>G133*H133</f>
        <v>0</v>
      </c>
      <c r="L133" s="79">
        <f>G133*133</f>
        <v>585.2</v>
      </c>
      <c r="Z133" s="36">
        <f>IF(AQ133="5",BJ133,0)</f>
        <v>0</v>
      </c>
      <c r="AB133" s="36">
        <f>IF(AQ133="1",BH133,0)</f>
        <v>0</v>
      </c>
      <c r="AC133" s="36">
        <f>IF(AQ133="1",BI133,0)</f>
        <v>0</v>
      </c>
      <c r="AD133" s="36">
        <f>IF(AQ133="7",BH133,0)</f>
        <v>0</v>
      </c>
      <c r="AE133" s="36">
        <f>IF(AQ133="7",BI133,0)</f>
        <v>0</v>
      </c>
      <c r="AF133" s="36">
        <f>IF(AQ133="2",BH133,0)</f>
        <v>0</v>
      </c>
      <c r="AG133" s="36">
        <f>IF(AQ133="2",BI133,0)</f>
        <v>0</v>
      </c>
      <c r="AH133" s="36">
        <f>IF(AQ133="0",BJ133,0)</f>
        <v>0</v>
      </c>
      <c r="AI133" s="59" t="s">
        <v>70</v>
      </c>
      <c r="AJ133" s="54">
        <f>IF(AN133=0,K133,0)</f>
        <v>0</v>
      </c>
      <c r="AK133" s="54">
        <f>IF(AN133=15,K133,0)</f>
        <v>0</v>
      </c>
      <c r="AL133" s="54">
        <f>IF(AN133=21,K133,0)</f>
        <v>0</v>
      </c>
      <c r="AN133" s="36">
        <v>21</v>
      </c>
      <c r="AO133" s="36">
        <f>H133*0</f>
        <v>0</v>
      </c>
      <c r="AP133" s="36">
        <f>H133*(1-0)</f>
        <v>0</v>
      </c>
      <c r="AQ133" s="60" t="s">
        <v>86</v>
      </c>
      <c r="AV133" s="36">
        <f>AW133+AX133</f>
        <v>0</v>
      </c>
      <c r="AW133" s="36">
        <f>G133*AO133</f>
        <v>0</v>
      </c>
      <c r="AX133" s="36">
        <f>G133*AP133</f>
        <v>0</v>
      </c>
      <c r="AY133" s="62" t="s">
        <v>437</v>
      </c>
      <c r="AZ133" s="62" t="s">
        <v>446</v>
      </c>
      <c r="BA133" s="59" t="s">
        <v>447</v>
      </c>
      <c r="BC133" s="36">
        <f>AW133+AX133</f>
        <v>0</v>
      </c>
      <c r="BD133" s="36">
        <f>H133/(100-BE133)*100</f>
        <v>0</v>
      </c>
      <c r="BE133" s="36">
        <v>0</v>
      </c>
      <c r="BF133" s="36">
        <f>L133</f>
        <v>585.2</v>
      </c>
      <c r="BH133" s="54">
        <f>G133*AO133</f>
        <v>0</v>
      </c>
      <c r="BI133" s="54">
        <f>G133*AP133</f>
        <v>0</v>
      </c>
      <c r="BJ133" s="54">
        <f>G133*H133</f>
        <v>0</v>
      </c>
    </row>
    <row r="134" spans="1:12" ht="12.75">
      <c r="A134" s="90"/>
      <c r="B134" s="90"/>
      <c r="C134" s="90"/>
      <c r="D134" s="5"/>
      <c r="E134" s="90"/>
      <c r="F134" s="90"/>
      <c r="G134" s="90"/>
      <c r="H134" s="90"/>
      <c r="I134" s="178" t="s">
        <v>77</v>
      </c>
      <c r="J134" s="129"/>
      <c r="K134" s="91">
        <f>K13+K17+K20+K23+K29+K32+K35+K39+K44+K48+K53+K59+K70+K77+K103+K110+K117+K122+K126+K128</f>
        <v>0</v>
      </c>
      <c r="L134" s="90"/>
    </row>
    <row r="135" ht="11.25" customHeight="1">
      <c r="A135" s="31" t="s">
        <v>18</v>
      </c>
    </row>
    <row r="136" spans="1:12" ht="12.75">
      <c r="A136" s="96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</row>
  </sheetData>
  <sheetProtection/>
  <mergeCells count="152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A136:L136"/>
    <mergeCell ref="C129:E129"/>
    <mergeCell ref="C130:E130"/>
    <mergeCell ref="C131:E131"/>
    <mergeCell ref="C132:E132"/>
    <mergeCell ref="C133:E133"/>
    <mergeCell ref="I134:J134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6" sqref="F6:G7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9.421875" style="0" customWidth="1"/>
    <col min="5" max="5" width="14.57421875" style="0" customWidth="1"/>
    <col min="6" max="6" width="24.140625" style="0" customWidth="1"/>
    <col min="7" max="7" width="20.421875" style="0" customWidth="1"/>
  </cols>
  <sheetData>
    <row r="1" spans="1:7" ht="72.75" customHeight="1">
      <c r="A1" s="167" t="s">
        <v>451</v>
      </c>
      <c r="B1" s="124"/>
      <c r="C1" s="124"/>
      <c r="D1" s="124"/>
      <c r="E1" s="124"/>
      <c r="F1" s="124"/>
      <c r="G1" s="124"/>
    </row>
    <row r="2" spans="1:8" ht="12.75">
      <c r="A2" s="125" t="s">
        <v>0</v>
      </c>
      <c r="B2" s="126"/>
      <c r="C2" s="127" t="str">
        <f>'Stavební rozpočet'!C2</f>
        <v>Oprava oplocení MŠ Gorkého, Krnov</v>
      </c>
      <c r="D2" s="128"/>
      <c r="E2" s="130" t="s">
        <v>31</v>
      </c>
      <c r="F2" s="130" t="str">
        <f>'Stavební rozpočet'!I2</f>
        <v>Město Krnov</v>
      </c>
      <c r="G2" s="126"/>
      <c r="H2" s="15"/>
    </row>
    <row r="3" spans="1:8" ht="12.75">
      <c r="A3" s="120"/>
      <c r="B3" s="97"/>
      <c r="C3" s="129"/>
      <c r="D3" s="129"/>
      <c r="E3" s="97"/>
      <c r="F3" s="97"/>
      <c r="G3" s="97"/>
      <c r="H3" s="15"/>
    </row>
    <row r="4" spans="1:8" ht="12.75">
      <c r="A4" s="114" t="s">
        <v>1</v>
      </c>
      <c r="B4" s="97"/>
      <c r="C4" s="96" t="str">
        <f>'Stavební rozpočet'!C4</f>
        <v>Rekonstrukce s opravou</v>
      </c>
      <c r="D4" s="97"/>
      <c r="E4" s="96" t="s">
        <v>32</v>
      </c>
      <c r="F4" s="96" t="str">
        <f>'Stavební rozpočet'!I4</f>
        <v>Ing. Karel Oubělický – OK Project</v>
      </c>
      <c r="G4" s="97"/>
      <c r="H4" s="15"/>
    </row>
    <row r="5" spans="1:8" ht="12.75">
      <c r="A5" s="120"/>
      <c r="B5" s="97"/>
      <c r="C5" s="97"/>
      <c r="D5" s="97"/>
      <c r="E5" s="97"/>
      <c r="F5" s="97"/>
      <c r="G5" s="97"/>
      <c r="H5" s="15"/>
    </row>
    <row r="6" spans="1:8" ht="12.75">
      <c r="A6" s="114" t="s">
        <v>2</v>
      </c>
      <c r="B6" s="97"/>
      <c r="C6" s="96" t="str">
        <f>'Stavební rozpočet'!C6</f>
        <v>Krnov</v>
      </c>
      <c r="D6" s="97"/>
      <c r="E6" s="96" t="s">
        <v>33</v>
      </c>
      <c r="F6" s="96"/>
      <c r="G6" s="97"/>
      <c r="H6" s="15"/>
    </row>
    <row r="7" spans="1:8" ht="12.75">
      <c r="A7" s="120"/>
      <c r="B7" s="97"/>
      <c r="C7" s="97"/>
      <c r="D7" s="97"/>
      <c r="E7" s="97"/>
      <c r="F7" s="97"/>
      <c r="G7" s="97"/>
      <c r="H7" s="15"/>
    </row>
    <row r="8" spans="1:8" ht="12.75">
      <c r="A8" s="114" t="s">
        <v>35</v>
      </c>
      <c r="B8" s="97"/>
      <c r="C8" s="96" t="str">
        <f>'Stavební rozpočet'!I8</f>
        <v>Boris Mičánek</v>
      </c>
      <c r="D8" s="97"/>
      <c r="E8" s="96" t="s">
        <v>74</v>
      </c>
      <c r="F8" s="96" t="str">
        <f>'Stavební rozpočet'!F8</f>
        <v>28.04.2020</v>
      </c>
      <c r="G8" s="97"/>
      <c r="H8" s="15"/>
    </row>
    <row r="9" spans="1:8" ht="12.75">
      <c r="A9" s="164"/>
      <c r="B9" s="165"/>
      <c r="C9" s="165"/>
      <c r="D9" s="165"/>
      <c r="E9" s="165"/>
      <c r="F9" s="165"/>
      <c r="G9" s="165"/>
      <c r="H9" s="15"/>
    </row>
    <row r="10" spans="1:8" ht="12.75">
      <c r="A10" s="65" t="s">
        <v>103</v>
      </c>
      <c r="B10" s="67" t="s">
        <v>69</v>
      </c>
      <c r="C10" s="67" t="s">
        <v>82</v>
      </c>
      <c r="D10" s="67" t="s">
        <v>274</v>
      </c>
      <c r="E10" s="67" t="s">
        <v>395</v>
      </c>
      <c r="F10" s="67" t="s">
        <v>275</v>
      </c>
      <c r="G10" s="68" t="s">
        <v>403</v>
      </c>
      <c r="H10" s="16"/>
    </row>
    <row r="11" spans="1:7" ht="12.75">
      <c r="A11" s="66" t="s">
        <v>83</v>
      </c>
      <c r="B11" s="66" t="s">
        <v>70</v>
      </c>
      <c r="C11" s="66" t="s">
        <v>180</v>
      </c>
      <c r="D11" s="66" t="s">
        <v>277</v>
      </c>
      <c r="E11" s="66" t="s">
        <v>396</v>
      </c>
      <c r="F11" s="9"/>
      <c r="G11" s="69">
        <v>100.3</v>
      </c>
    </row>
    <row r="12" spans="6:7" ht="12.75">
      <c r="F12" s="47" t="s">
        <v>452</v>
      </c>
      <c r="G12" s="54">
        <v>13.86</v>
      </c>
    </row>
    <row r="13" spans="1:7" ht="12.75">
      <c r="A13" s="47"/>
      <c r="B13" s="47"/>
      <c r="C13" s="47"/>
      <c r="D13" s="47"/>
      <c r="E13" s="47"/>
      <c r="F13" s="47" t="s">
        <v>453</v>
      </c>
      <c r="G13" s="54">
        <v>86.44</v>
      </c>
    </row>
    <row r="14" spans="1:7" ht="12.75">
      <c r="A14" s="47" t="s">
        <v>84</v>
      </c>
      <c r="B14" s="47" t="s">
        <v>70</v>
      </c>
      <c r="C14" s="47" t="s">
        <v>181</v>
      </c>
      <c r="D14" s="47" t="s">
        <v>278</v>
      </c>
      <c r="E14" s="47" t="s">
        <v>396</v>
      </c>
      <c r="G14" s="54">
        <v>10</v>
      </c>
    </row>
    <row r="15" spans="6:7" ht="12.75">
      <c r="F15" s="47" t="s">
        <v>454</v>
      </c>
      <c r="G15" s="54">
        <v>5</v>
      </c>
    </row>
    <row r="16" spans="1:7" ht="12.75">
      <c r="A16" s="47"/>
      <c r="B16" s="47"/>
      <c r="C16" s="47"/>
      <c r="D16" s="47"/>
      <c r="E16" s="47"/>
      <c r="F16" s="47" t="s">
        <v>455</v>
      </c>
      <c r="G16" s="54">
        <v>5</v>
      </c>
    </row>
    <row r="17" spans="1:7" ht="12.75">
      <c r="A17" s="47" t="s">
        <v>85</v>
      </c>
      <c r="B17" s="47" t="s">
        <v>70</v>
      </c>
      <c r="C17" s="47" t="s">
        <v>182</v>
      </c>
      <c r="D17" s="47" t="s">
        <v>281</v>
      </c>
      <c r="E17" s="47" t="s">
        <v>397</v>
      </c>
      <c r="G17" s="54">
        <v>19.37</v>
      </c>
    </row>
    <row r="18" spans="6:7" ht="12.75">
      <c r="F18" s="47" t="s">
        <v>456</v>
      </c>
      <c r="G18" s="54">
        <v>2.08</v>
      </c>
    </row>
    <row r="19" spans="1:7" ht="12.75">
      <c r="A19" s="47"/>
      <c r="B19" s="47"/>
      <c r="C19" s="47"/>
      <c r="D19" s="47"/>
      <c r="E19" s="47"/>
      <c r="F19" s="47" t="s">
        <v>457</v>
      </c>
      <c r="G19" s="54">
        <v>17.29</v>
      </c>
    </row>
    <row r="20" spans="1:7" ht="12.75">
      <c r="A20" s="47" t="s">
        <v>104</v>
      </c>
      <c r="B20" s="47" t="s">
        <v>70</v>
      </c>
      <c r="C20" s="47" t="s">
        <v>183</v>
      </c>
      <c r="D20" s="47" t="s">
        <v>282</v>
      </c>
      <c r="E20" s="47" t="s">
        <v>397</v>
      </c>
      <c r="F20" s="47" t="s">
        <v>458</v>
      </c>
      <c r="G20" s="54">
        <v>6.46</v>
      </c>
    </row>
    <row r="21" spans="1:7" ht="12.75">
      <c r="A21" s="47" t="s">
        <v>86</v>
      </c>
      <c r="B21" s="47" t="s">
        <v>70</v>
      </c>
      <c r="C21" s="47" t="s">
        <v>184</v>
      </c>
      <c r="D21" s="47" t="s">
        <v>284</v>
      </c>
      <c r="E21" s="47" t="s">
        <v>397</v>
      </c>
      <c r="G21" s="54">
        <v>1.14</v>
      </c>
    </row>
    <row r="22" spans="6:7" ht="12.75">
      <c r="F22" s="47" t="s">
        <v>459</v>
      </c>
      <c r="G22" s="54">
        <v>0.26</v>
      </c>
    </row>
    <row r="23" spans="1:7" ht="12.75">
      <c r="A23" s="47"/>
      <c r="B23" s="47"/>
      <c r="C23" s="47"/>
      <c r="D23" s="47"/>
      <c r="E23" s="47"/>
      <c r="F23" s="47" t="s">
        <v>460</v>
      </c>
      <c r="G23" s="54">
        <v>0.88</v>
      </c>
    </row>
    <row r="24" spans="1:7" ht="12.75">
      <c r="A24" s="47" t="s">
        <v>87</v>
      </c>
      <c r="B24" s="47" t="s">
        <v>70</v>
      </c>
      <c r="C24" s="47" t="s">
        <v>185</v>
      </c>
      <c r="D24" s="47" t="s">
        <v>285</v>
      </c>
      <c r="E24" s="47" t="s">
        <v>397</v>
      </c>
      <c r="F24" s="47" t="s">
        <v>461</v>
      </c>
      <c r="G24" s="54">
        <v>0.38</v>
      </c>
    </row>
    <row r="25" spans="1:7" ht="12.75">
      <c r="A25" s="47" t="s">
        <v>105</v>
      </c>
      <c r="B25" s="47" t="s">
        <v>70</v>
      </c>
      <c r="C25" s="47" t="s">
        <v>186</v>
      </c>
      <c r="D25" s="47" t="s">
        <v>287</v>
      </c>
      <c r="E25" s="47" t="s">
        <v>397</v>
      </c>
      <c r="G25" s="54">
        <v>20.51</v>
      </c>
    </row>
    <row r="26" spans="6:7" ht="12.75">
      <c r="F26" s="47" t="s">
        <v>462</v>
      </c>
      <c r="G26" s="54">
        <v>1.14</v>
      </c>
    </row>
    <row r="27" spans="1:7" ht="12.75">
      <c r="A27" s="47"/>
      <c r="B27" s="47"/>
      <c r="C27" s="47"/>
      <c r="D27" s="47"/>
      <c r="E27" s="47"/>
      <c r="F27" s="47" t="s">
        <v>463</v>
      </c>
      <c r="G27" s="54">
        <v>19.37</v>
      </c>
    </row>
    <row r="28" spans="1:7" ht="12.75">
      <c r="A28" s="47" t="s">
        <v>106</v>
      </c>
      <c r="B28" s="47" t="s">
        <v>70</v>
      </c>
      <c r="C28" s="47" t="s">
        <v>187</v>
      </c>
      <c r="D28" s="47" t="s">
        <v>288</v>
      </c>
      <c r="E28" s="47" t="s">
        <v>397</v>
      </c>
      <c r="G28" s="54">
        <v>20.51</v>
      </c>
    </row>
    <row r="29" spans="6:7" ht="12.75">
      <c r="F29" s="47" t="s">
        <v>462</v>
      </c>
      <c r="G29" s="54">
        <v>1.14</v>
      </c>
    </row>
    <row r="30" spans="1:7" ht="12.75">
      <c r="A30" s="47"/>
      <c r="B30" s="47"/>
      <c r="C30" s="47"/>
      <c r="D30" s="47"/>
      <c r="E30" s="47"/>
      <c r="F30" s="47" t="s">
        <v>463</v>
      </c>
      <c r="G30" s="54">
        <v>19.37</v>
      </c>
    </row>
    <row r="31" spans="1:7" ht="12.75">
      <c r="A31" s="47" t="s">
        <v>91</v>
      </c>
      <c r="B31" s="47" t="s">
        <v>70</v>
      </c>
      <c r="C31" s="47" t="s">
        <v>188</v>
      </c>
      <c r="D31" s="47" t="s">
        <v>289</v>
      </c>
      <c r="E31" s="47" t="s">
        <v>397</v>
      </c>
      <c r="G31" s="54">
        <v>20.51</v>
      </c>
    </row>
    <row r="32" spans="6:7" ht="12.75">
      <c r="F32" s="47" t="s">
        <v>462</v>
      </c>
      <c r="G32" s="54">
        <v>1.14</v>
      </c>
    </row>
    <row r="33" spans="1:7" ht="12.75">
      <c r="A33" s="47"/>
      <c r="B33" s="47"/>
      <c r="C33" s="47"/>
      <c r="D33" s="47"/>
      <c r="E33" s="47"/>
      <c r="F33" s="47" t="s">
        <v>463</v>
      </c>
      <c r="G33" s="54">
        <v>19.37</v>
      </c>
    </row>
    <row r="34" spans="1:7" ht="12.75">
      <c r="A34" s="47" t="s">
        <v>107</v>
      </c>
      <c r="B34" s="47" t="s">
        <v>70</v>
      </c>
      <c r="C34" s="47" t="s">
        <v>189</v>
      </c>
      <c r="D34" s="47" t="s">
        <v>290</v>
      </c>
      <c r="E34" s="47" t="s">
        <v>397</v>
      </c>
      <c r="G34" s="54">
        <v>20.51</v>
      </c>
    </row>
    <row r="35" spans="6:7" ht="12.75">
      <c r="F35" s="47" t="s">
        <v>462</v>
      </c>
      <c r="G35" s="54">
        <v>1.14</v>
      </c>
    </row>
    <row r="36" spans="1:7" ht="12.75">
      <c r="A36" s="47"/>
      <c r="B36" s="47"/>
      <c r="C36" s="47"/>
      <c r="D36" s="47"/>
      <c r="E36" s="47"/>
      <c r="F36" s="47" t="s">
        <v>463</v>
      </c>
      <c r="G36" s="54">
        <v>19.37</v>
      </c>
    </row>
    <row r="37" spans="1:7" ht="12.75">
      <c r="A37" s="47" t="s">
        <v>108</v>
      </c>
      <c r="B37" s="47" t="s">
        <v>70</v>
      </c>
      <c r="C37" s="47" t="s">
        <v>190</v>
      </c>
      <c r="D37" s="47" t="s">
        <v>291</v>
      </c>
      <c r="E37" s="47" t="s">
        <v>397</v>
      </c>
      <c r="G37" s="54">
        <v>20.51</v>
      </c>
    </row>
    <row r="38" spans="6:7" ht="12.75">
      <c r="F38" s="47" t="s">
        <v>462</v>
      </c>
      <c r="G38" s="54">
        <v>1.14</v>
      </c>
    </row>
    <row r="39" spans="1:7" ht="12.75">
      <c r="A39" s="47"/>
      <c r="B39" s="47"/>
      <c r="C39" s="47"/>
      <c r="D39" s="47"/>
      <c r="E39" s="47"/>
      <c r="F39" s="47" t="s">
        <v>463</v>
      </c>
      <c r="G39" s="54">
        <v>19.37</v>
      </c>
    </row>
    <row r="40" spans="1:7" ht="12.75">
      <c r="A40" s="47" t="s">
        <v>109</v>
      </c>
      <c r="B40" s="47" t="s">
        <v>70</v>
      </c>
      <c r="C40" s="47" t="s">
        <v>191</v>
      </c>
      <c r="D40" s="47" t="s">
        <v>293</v>
      </c>
      <c r="E40" s="47" t="s">
        <v>396</v>
      </c>
      <c r="F40" s="47" t="s">
        <v>464</v>
      </c>
      <c r="G40" s="54">
        <v>20</v>
      </c>
    </row>
    <row r="41" spans="1:7" ht="12.75">
      <c r="A41" s="47" t="s">
        <v>110</v>
      </c>
      <c r="B41" s="47" t="s">
        <v>70</v>
      </c>
      <c r="C41" s="47" t="s">
        <v>192</v>
      </c>
      <c r="D41" s="47" t="s">
        <v>294</v>
      </c>
      <c r="E41" s="47" t="s">
        <v>396</v>
      </c>
      <c r="F41" s="47" t="s">
        <v>117</v>
      </c>
      <c r="G41" s="54">
        <v>20</v>
      </c>
    </row>
    <row r="42" spans="1:7" ht="12.75">
      <c r="A42" s="47" t="s">
        <v>111</v>
      </c>
      <c r="B42" s="47" t="s">
        <v>70</v>
      </c>
      <c r="C42" s="47" t="s">
        <v>193</v>
      </c>
      <c r="D42" s="47" t="s">
        <v>296</v>
      </c>
      <c r="E42" s="47" t="s">
        <v>397</v>
      </c>
      <c r="G42" s="54">
        <v>1.14</v>
      </c>
    </row>
    <row r="43" spans="6:7" ht="12.75">
      <c r="F43" s="47" t="s">
        <v>459</v>
      </c>
      <c r="G43" s="54">
        <v>0.26</v>
      </c>
    </row>
    <row r="44" spans="1:7" ht="12.75">
      <c r="A44" s="47"/>
      <c r="B44" s="47"/>
      <c r="C44" s="47"/>
      <c r="D44" s="47"/>
      <c r="E44" s="47"/>
      <c r="F44" s="47" t="s">
        <v>460</v>
      </c>
      <c r="G44" s="54">
        <v>0.88</v>
      </c>
    </row>
    <row r="45" spans="1:7" ht="12.75">
      <c r="A45" s="47" t="s">
        <v>112</v>
      </c>
      <c r="B45" s="47" t="s">
        <v>70</v>
      </c>
      <c r="C45" s="47" t="s">
        <v>194</v>
      </c>
      <c r="D45" s="47" t="s">
        <v>297</v>
      </c>
      <c r="E45" s="47" t="s">
        <v>398</v>
      </c>
      <c r="F45" s="47" t="s">
        <v>465</v>
      </c>
      <c r="G45" s="54">
        <v>2.95</v>
      </c>
    </row>
    <row r="46" spans="1:7" ht="12.75">
      <c r="A46" s="47" t="s">
        <v>113</v>
      </c>
      <c r="B46" s="47" t="s">
        <v>70</v>
      </c>
      <c r="C46" s="47" t="s">
        <v>195</v>
      </c>
      <c r="D46" s="47" t="s">
        <v>299</v>
      </c>
      <c r="E46" s="47" t="s">
        <v>397</v>
      </c>
      <c r="G46" s="54">
        <v>0.59</v>
      </c>
    </row>
    <row r="47" spans="6:7" ht="12.75">
      <c r="F47" s="47" t="s">
        <v>466</v>
      </c>
      <c r="G47" s="54">
        <v>0.5</v>
      </c>
    </row>
    <row r="48" spans="1:7" ht="12.75">
      <c r="A48" s="47"/>
      <c r="B48" s="47"/>
      <c r="C48" s="47"/>
      <c r="D48" s="47"/>
      <c r="E48" s="47"/>
      <c r="F48" s="47" t="s">
        <v>467</v>
      </c>
      <c r="G48" s="54">
        <v>0.09</v>
      </c>
    </row>
    <row r="49" spans="1:7" ht="12.75">
      <c r="A49" s="47" t="s">
        <v>114</v>
      </c>
      <c r="B49" s="47" t="s">
        <v>70</v>
      </c>
      <c r="C49" s="47" t="s">
        <v>196</v>
      </c>
      <c r="D49" s="47" t="s">
        <v>301</v>
      </c>
      <c r="E49" s="47" t="s">
        <v>398</v>
      </c>
      <c r="F49" s="47" t="s">
        <v>468</v>
      </c>
      <c r="G49" s="54">
        <v>1.03</v>
      </c>
    </row>
    <row r="50" spans="1:7" ht="12.75">
      <c r="A50" s="47" t="s">
        <v>115</v>
      </c>
      <c r="B50" s="47" t="s">
        <v>70</v>
      </c>
      <c r="C50" s="47" t="s">
        <v>197</v>
      </c>
      <c r="D50" s="47" t="s">
        <v>303</v>
      </c>
      <c r="E50" s="47" t="s">
        <v>397</v>
      </c>
      <c r="G50" s="54">
        <v>0.47</v>
      </c>
    </row>
    <row r="51" spans="6:7" ht="12.75">
      <c r="F51" s="47" t="s">
        <v>469</v>
      </c>
      <c r="G51" s="54">
        <v>0.16</v>
      </c>
    </row>
    <row r="52" spans="1:7" ht="12.75">
      <c r="A52" s="47"/>
      <c r="B52" s="47"/>
      <c r="C52" s="47"/>
      <c r="D52" s="47"/>
      <c r="E52" s="47"/>
      <c r="F52" s="47" t="s">
        <v>470</v>
      </c>
      <c r="G52" s="54">
        <v>0.31</v>
      </c>
    </row>
    <row r="53" spans="1:7" ht="12.75">
      <c r="A53" s="47" t="s">
        <v>116</v>
      </c>
      <c r="B53" s="47" t="s">
        <v>70</v>
      </c>
      <c r="C53" s="47" t="s">
        <v>198</v>
      </c>
      <c r="D53" s="47" t="s">
        <v>304</v>
      </c>
      <c r="E53" s="47" t="s">
        <v>399</v>
      </c>
      <c r="F53" s="47" t="s">
        <v>471</v>
      </c>
      <c r="G53" s="54">
        <v>3</v>
      </c>
    </row>
    <row r="54" spans="1:7" ht="12.75">
      <c r="A54" s="47" t="s">
        <v>117</v>
      </c>
      <c r="B54" s="47" t="s">
        <v>70</v>
      </c>
      <c r="C54" s="47" t="s">
        <v>196</v>
      </c>
      <c r="D54" s="47" t="s">
        <v>301</v>
      </c>
      <c r="E54" s="47" t="s">
        <v>398</v>
      </c>
      <c r="F54" s="47" t="s">
        <v>472</v>
      </c>
      <c r="G54" s="54">
        <v>0.98</v>
      </c>
    </row>
    <row r="55" spans="1:7" ht="12.75">
      <c r="A55" s="47" t="s">
        <v>118</v>
      </c>
      <c r="B55" s="47" t="s">
        <v>70</v>
      </c>
      <c r="C55" s="47" t="s">
        <v>199</v>
      </c>
      <c r="D55" s="47" t="s">
        <v>307</v>
      </c>
      <c r="E55" s="47" t="s">
        <v>400</v>
      </c>
      <c r="G55" s="54">
        <v>106.5</v>
      </c>
    </row>
    <row r="56" spans="6:7" ht="12.75">
      <c r="F56" s="47" t="s">
        <v>473</v>
      </c>
      <c r="G56" s="54">
        <v>34.3</v>
      </c>
    </row>
    <row r="57" spans="1:7" ht="12.75">
      <c r="A57" s="47"/>
      <c r="B57" s="47"/>
      <c r="C57" s="47"/>
      <c r="D57" s="47"/>
      <c r="E57" s="47"/>
      <c r="F57" s="47" t="s">
        <v>474</v>
      </c>
      <c r="G57" s="54">
        <v>61.2</v>
      </c>
    </row>
    <row r="58" spans="1:7" ht="12.75">
      <c r="A58" s="47"/>
      <c r="B58" s="47"/>
      <c r="C58" s="47"/>
      <c r="D58" s="47"/>
      <c r="E58" s="47"/>
      <c r="F58" s="47" t="s">
        <v>475</v>
      </c>
      <c r="G58" s="54">
        <v>5</v>
      </c>
    </row>
    <row r="59" spans="1:7" ht="12.75">
      <c r="A59" s="47"/>
      <c r="B59" s="47"/>
      <c r="C59" s="47"/>
      <c r="D59" s="47"/>
      <c r="E59" s="47"/>
      <c r="F59" s="47" t="s">
        <v>476</v>
      </c>
      <c r="G59" s="54">
        <v>4</v>
      </c>
    </row>
    <row r="60" spans="1:7" ht="12.75">
      <c r="A60" s="47"/>
      <c r="B60" s="47"/>
      <c r="C60" s="47"/>
      <c r="D60" s="47"/>
      <c r="E60" s="47"/>
      <c r="F60" s="47" t="s">
        <v>477</v>
      </c>
      <c r="G60" s="54">
        <v>1</v>
      </c>
    </row>
    <row r="61" spans="1:7" ht="12.75">
      <c r="A61" s="47"/>
      <c r="B61" s="47"/>
      <c r="C61" s="47"/>
      <c r="D61" s="47"/>
      <c r="E61" s="47"/>
      <c r="F61" s="47" t="s">
        <v>478</v>
      </c>
      <c r="G61" s="54">
        <v>1</v>
      </c>
    </row>
    <row r="62" spans="1:7" ht="12.75">
      <c r="A62" s="47"/>
      <c r="B62" s="47"/>
      <c r="C62" s="47"/>
      <c r="D62" s="47"/>
      <c r="E62" s="47"/>
      <c r="F62" s="47" t="s">
        <v>479</v>
      </c>
      <c r="G62" s="54">
        <v>0</v>
      </c>
    </row>
    <row r="63" spans="1:7" ht="12.75">
      <c r="A63" s="47"/>
      <c r="B63" s="47"/>
      <c r="C63" s="47"/>
      <c r="D63" s="47"/>
      <c r="E63" s="47"/>
      <c r="F63" s="47" t="s">
        <v>480</v>
      </c>
      <c r="G63" s="54">
        <v>0</v>
      </c>
    </row>
    <row r="64" spans="1:7" ht="12.75">
      <c r="A64" s="47" t="s">
        <v>119</v>
      </c>
      <c r="B64" s="47" t="s">
        <v>70</v>
      </c>
      <c r="C64" s="47" t="s">
        <v>196</v>
      </c>
      <c r="D64" s="47" t="s">
        <v>301</v>
      </c>
      <c r="E64" s="47" t="s">
        <v>398</v>
      </c>
      <c r="G64" s="54">
        <v>7.16</v>
      </c>
    </row>
    <row r="65" spans="1:7" ht="12.75">
      <c r="A65" s="47" t="s">
        <v>120</v>
      </c>
      <c r="B65" s="47" t="s">
        <v>70</v>
      </c>
      <c r="C65" s="47" t="s">
        <v>200</v>
      </c>
      <c r="D65" s="47" t="s">
        <v>310</v>
      </c>
      <c r="E65" s="47" t="s">
        <v>396</v>
      </c>
      <c r="G65" s="54">
        <v>13.86</v>
      </c>
    </row>
    <row r="66" spans="6:7" ht="12.75">
      <c r="F66" s="47" t="s">
        <v>481</v>
      </c>
      <c r="G66" s="54">
        <v>13.86</v>
      </c>
    </row>
    <row r="67" spans="1:7" ht="12.75">
      <c r="A67" s="47"/>
      <c r="B67" s="47"/>
      <c r="C67" s="47"/>
      <c r="D67" s="47"/>
      <c r="E67" s="47"/>
      <c r="F67" s="47" t="s">
        <v>482</v>
      </c>
      <c r="G67" s="54">
        <v>0</v>
      </c>
    </row>
    <row r="68" spans="1:7" ht="12.75">
      <c r="A68" s="47"/>
      <c r="B68" s="47"/>
      <c r="C68" s="47"/>
      <c r="D68" s="47"/>
      <c r="E68" s="47"/>
      <c r="F68" s="47" t="s">
        <v>483</v>
      </c>
      <c r="G68" s="54">
        <v>0</v>
      </c>
    </row>
    <row r="69" spans="1:7" ht="12.75">
      <c r="A69" s="47"/>
      <c r="B69" s="47"/>
      <c r="C69" s="47"/>
      <c r="D69" s="47"/>
      <c r="E69" s="47"/>
      <c r="F69" s="47" t="s">
        <v>484</v>
      </c>
      <c r="G69" s="54">
        <v>0</v>
      </c>
    </row>
    <row r="70" spans="1:7" ht="12.75">
      <c r="A70" s="47" t="s">
        <v>121</v>
      </c>
      <c r="B70" s="47" t="s">
        <v>70</v>
      </c>
      <c r="C70" s="47" t="s">
        <v>201</v>
      </c>
      <c r="D70" s="47" t="s">
        <v>312</v>
      </c>
      <c r="E70" s="47" t="s">
        <v>400</v>
      </c>
      <c r="F70" s="47" t="s">
        <v>485</v>
      </c>
      <c r="G70" s="54">
        <v>4.65</v>
      </c>
    </row>
    <row r="71" spans="1:7" ht="12.75">
      <c r="A71" s="47" t="s">
        <v>122</v>
      </c>
      <c r="B71" s="47" t="s">
        <v>70</v>
      </c>
      <c r="C71" s="47" t="s">
        <v>202</v>
      </c>
      <c r="D71" s="47" t="s">
        <v>313</v>
      </c>
      <c r="E71" s="47" t="s">
        <v>398</v>
      </c>
      <c r="F71" s="47" t="s">
        <v>486</v>
      </c>
      <c r="G71" s="54">
        <v>6.19</v>
      </c>
    </row>
    <row r="72" spans="1:7" ht="12.75">
      <c r="A72" s="47" t="s">
        <v>123</v>
      </c>
      <c r="B72" s="47" t="s">
        <v>70</v>
      </c>
      <c r="C72" s="47" t="s">
        <v>203</v>
      </c>
      <c r="D72" s="47" t="s">
        <v>315</v>
      </c>
      <c r="E72" s="47" t="s">
        <v>396</v>
      </c>
      <c r="G72" s="54">
        <v>86.44</v>
      </c>
    </row>
    <row r="73" spans="6:7" ht="12.75">
      <c r="F73" s="47" t="s">
        <v>487</v>
      </c>
      <c r="G73" s="54">
        <v>86.44</v>
      </c>
    </row>
    <row r="74" spans="1:7" ht="12.75">
      <c r="A74" s="47"/>
      <c r="B74" s="47"/>
      <c r="C74" s="47"/>
      <c r="D74" s="47"/>
      <c r="E74" s="47"/>
      <c r="F74" s="47" t="s">
        <v>488</v>
      </c>
      <c r="G74" s="54">
        <v>0</v>
      </c>
    </row>
    <row r="75" spans="1:7" ht="12.75">
      <c r="A75" s="47"/>
      <c r="B75" s="47"/>
      <c r="C75" s="47"/>
      <c r="D75" s="47"/>
      <c r="E75" s="47"/>
      <c r="F75" s="47" t="s">
        <v>489</v>
      </c>
      <c r="G75" s="54">
        <v>0</v>
      </c>
    </row>
    <row r="76" spans="1:7" ht="12.75">
      <c r="A76" s="47"/>
      <c r="B76" s="47"/>
      <c r="C76" s="47"/>
      <c r="D76" s="47"/>
      <c r="E76" s="47"/>
      <c r="F76" s="47" t="s">
        <v>490</v>
      </c>
      <c r="G76" s="54">
        <v>0</v>
      </c>
    </row>
    <row r="77" spans="1:7" ht="12.75">
      <c r="A77" s="47"/>
      <c r="B77" s="47"/>
      <c r="C77" s="47"/>
      <c r="D77" s="47"/>
      <c r="E77" s="47"/>
      <c r="F77" s="47" t="s">
        <v>491</v>
      </c>
      <c r="G77" s="54">
        <v>0</v>
      </c>
    </row>
    <row r="78" spans="1:7" ht="12.75">
      <c r="A78" s="47" t="s">
        <v>124</v>
      </c>
      <c r="B78" s="47" t="s">
        <v>70</v>
      </c>
      <c r="C78" s="47" t="s">
        <v>204</v>
      </c>
      <c r="D78" s="47" t="s">
        <v>316</v>
      </c>
      <c r="E78" s="47" t="s">
        <v>400</v>
      </c>
      <c r="F78" s="47" t="s">
        <v>492</v>
      </c>
      <c r="G78" s="54">
        <v>13.6</v>
      </c>
    </row>
    <row r="79" spans="1:7" ht="12.75">
      <c r="A79" s="47" t="s">
        <v>125</v>
      </c>
      <c r="B79" s="47" t="s">
        <v>70</v>
      </c>
      <c r="C79" s="47" t="s">
        <v>205</v>
      </c>
      <c r="D79" s="47" t="s">
        <v>317</v>
      </c>
      <c r="E79" s="47" t="s">
        <v>398</v>
      </c>
      <c r="F79" s="47" t="s">
        <v>493</v>
      </c>
      <c r="G79" s="54">
        <v>24.73</v>
      </c>
    </row>
    <row r="80" spans="1:7" ht="12.75">
      <c r="A80" s="47" t="s">
        <v>126</v>
      </c>
      <c r="B80" s="47" t="s">
        <v>70</v>
      </c>
      <c r="C80" s="47" t="s">
        <v>206</v>
      </c>
      <c r="D80" s="47" t="s">
        <v>318</v>
      </c>
      <c r="E80" s="47" t="s">
        <v>396</v>
      </c>
      <c r="G80" s="54">
        <v>10</v>
      </c>
    </row>
    <row r="81" spans="6:7" ht="12.75">
      <c r="F81" s="47" t="s">
        <v>454</v>
      </c>
      <c r="G81" s="54">
        <v>5</v>
      </c>
    </row>
    <row r="82" spans="1:7" ht="12.75">
      <c r="A82" s="47"/>
      <c r="B82" s="47"/>
      <c r="C82" s="47"/>
      <c r="D82" s="47"/>
      <c r="E82" s="47"/>
      <c r="F82" s="47" t="s">
        <v>455</v>
      </c>
      <c r="G82" s="54">
        <v>5</v>
      </c>
    </row>
    <row r="83" spans="1:7" ht="12.75">
      <c r="A83" s="47" t="s">
        <v>127</v>
      </c>
      <c r="B83" s="47" t="s">
        <v>70</v>
      </c>
      <c r="C83" s="47" t="s">
        <v>207</v>
      </c>
      <c r="D83" s="47" t="s">
        <v>321</v>
      </c>
      <c r="E83" s="47" t="s">
        <v>396</v>
      </c>
      <c r="G83" s="54">
        <v>150.01</v>
      </c>
    </row>
    <row r="84" spans="6:7" ht="12.75">
      <c r="F84" s="47" t="s">
        <v>494</v>
      </c>
      <c r="G84" s="54">
        <v>53.6</v>
      </c>
    </row>
    <row r="85" spans="1:7" ht="12.75">
      <c r="A85" s="47"/>
      <c r="B85" s="47"/>
      <c r="C85" s="47"/>
      <c r="D85" s="47"/>
      <c r="E85" s="47"/>
      <c r="F85" s="47" t="s">
        <v>495</v>
      </c>
      <c r="G85" s="54">
        <v>49.57</v>
      </c>
    </row>
    <row r="86" spans="1:7" ht="12.75">
      <c r="A86" s="47"/>
      <c r="B86" s="47"/>
      <c r="C86" s="47"/>
      <c r="D86" s="47"/>
      <c r="E86" s="47"/>
      <c r="F86" s="47" t="s">
        <v>496</v>
      </c>
      <c r="G86" s="54">
        <v>10.26</v>
      </c>
    </row>
    <row r="87" spans="1:7" ht="12.75">
      <c r="A87" s="47"/>
      <c r="B87" s="47"/>
      <c r="C87" s="47"/>
      <c r="D87" s="47"/>
      <c r="E87" s="47"/>
      <c r="F87" s="47" t="s">
        <v>497</v>
      </c>
      <c r="G87" s="54">
        <v>33</v>
      </c>
    </row>
    <row r="88" spans="1:7" ht="12.75">
      <c r="A88" s="47"/>
      <c r="B88" s="47"/>
      <c r="C88" s="47"/>
      <c r="D88" s="47"/>
      <c r="E88" s="47"/>
      <c r="F88" s="47" t="s">
        <v>498</v>
      </c>
      <c r="G88" s="54">
        <v>1.09</v>
      </c>
    </row>
    <row r="89" spans="1:7" ht="12.75">
      <c r="A89" s="47"/>
      <c r="B89" s="47"/>
      <c r="C89" s="47"/>
      <c r="D89" s="47"/>
      <c r="E89" s="47"/>
      <c r="F89" s="47" t="s">
        <v>499</v>
      </c>
      <c r="G89" s="54">
        <v>2.49</v>
      </c>
    </row>
    <row r="90" spans="1:7" ht="12.75">
      <c r="A90" s="47" t="s">
        <v>128</v>
      </c>
      <c r="B90" s="47" t="s">
        <v>70</v>
      </c>
      <c r="C90" s="47" t="s">
        <v>208</v>
      </c>
      <c r="D90" s="47" t="s">
        <v>323</v>
      </c>
      <c r="E90" s="47" t="s">
        <v>396</v>
      </c>
      <c r="G90" s="54">
        <v>150.01</v>
      </c>
    </row>
    <row r="91" spans="6:7" ht="12.75">
      <c r="F91" s="47" t="s">
        <v>494</v>
      </c>
      <c r="G91" s="54">
        <v>53.6</v>
      </c>
    </row>
    <row r="92" spans="1:7" ht="12.75">
      <c r="A92" s="47"/>
      <c r="B92" s="47"/>
      <c r="C92" s="47"/>
      <c r="D92" s="47"/>
      <c r="E92" s="47"/>
      <c r="F92" s="47" t="s">
        <v>495</v>
      </c>
      <c r="G92" s="54">
        <v>49.57</v>
      </c>
    </row>
    <row r="93" spans="1:7" ht="12.75">
      <c r="A93" s="47"/>
      <c r="B93" s="47"/>
      <c r="C93" s="47"/>
      <c r="D93" s="47"/>
      <c r="E93" s="47"/>
      <c r="F93" s="47" t="s">
        <v>496</v>
      </c>
      <c r="G93" s="54">
        <v>10.26</v>
      </c>
    </row>
    <row r="94" spans="1:7" ht="12.75">
      <c r="A94" s="47"/>
      <c r="B94" s="47"/>
      <c r="C94" s="47"/>
      <c r="D94" s="47"/>
      <c r="E94" s="47"/>
      <c r="F94" s="47" t="s">
        <v>497</v>
      </c>
      <c r="G94" s="54">
        <v>33</v>
      </c>
    </row>
    <row r="95" spans="1:7" ht="12.75">
      <c r="A95" s="47"/>
      <c r="B95" s="47"/>
      <c r="C95" s="47"/>
      <c r="D95" s="47"/>
      <c r="E95" s="47"/>
      <c r="F95" s="47" t="s">
        <v>498</v>
      </c>
      <c r="G95" s="54">
        <v>1.09</v>
      </c>
    </row>
    <row r="96" spans="1:7" ht="12.75">
      <c r="A96" s="47"/>
      <c r="B96" s="47"/>
      <c r="C96" s="47"/>
      <c r="D96" s="47"/>
      <c r="E96" s="47"/>
      <c r="F96" s="47" t="s">
        <v>499</v>
      </c>
      <c r="G96" s="54">
        <v>2.49</v>
      </c>
    </row>
    <row r="97" spans="1:7" ht="12.75">
      <c r="A97" s="47"/>
      <c r="B97" s="47"/>
      <c r="C97" s="47"/>
      <c r="D97" s="47"/>
      <c r="E97" s="47"/>
      <c r="F97" s="47" t="s">
        <v>500</v>
      </c>
      <c r="G97" s="54">
        <v>0</v>
      </c>
    </row>
    <row r="98" spans="1:7" ht="12.75">
      <c r="A98" s="47"/>
      <c r="B98" s="47"/>
      <c r="C98" s="47"/>
      <c r="D98" s="47"/>
      <c r="E98" s="47"/>
      <c r="F98" s="47" t="s">
        <v>501</v>
      </c>
      <c r="G98" s="54">
        <v>0</v>
      </c>
    </row>
    <row r="99" spans="1:7" ht="12.75">
      <c r="A99" s="47" t="s">
        <v>129</v>
      </c>
      <c r="B99" s="47" t="s">
        <v>70</v>
      </c>
      <c r="C99" s="47" t="s">
        <v>209</v>
      </c>
      <c r="D99" s="47" t="s">
        <v>324</v>
      </c>
      <c r="E99" s="47" t="s">
        <v>396</v>
      </c>
      <c r="G99" s="54">
        <v>4.97</v>
      </c>
    </row>
    <row r="100" spans="6:7" ht="12.75">
      <c r="F100" s="47" t="s">
        <v>502</v>
      </c>
      <c r="G100" s="54">
        <v>1.14</v>
      </c>
    </row>
    <row r="101" spans="1:7" ht="12.75">
      <c r="A101" s="47"/>
      <c r="B101" s="47"/>
      <c r="C101" s="47"/>
      <c r="D101" s="47"/>
      <c r="E101" s="47"/>
      <c r="F101" s="47" t="s">
        <v>503</v>
      </c>
      <c r="G101" s="54">
        <v>2.38</v>
      </c>
    </row>
    <row r="102" spans="1:7" ht="12.75">
      <c r="A102" s="47"/>
      <c r="B102" s="47"/>
      <c r="C102" s="47"/>
      <c r="D102" s="47"/>
      <c r="E102" s="47"/>
      <c r="F102" s="47" t="s">
        <v>504</v>
      </c>
      <c r="G102" s="54">
        <v>1.45</v>
      </c>
    </row>
    <row r="103" spans="1:7" ht="12.75">
      <c r="A103" s="47" t="s">
        <v>130</v>
      </c>
      <c r="B103" s="47" t="s">
        <v>70</v>
      </c>
      <c r="C103" s="47" t="s">
        <v>210</v>
      </c>
      <c r="D103" s="47" t="s">
        <v>326</v>
      </c>
      <c r="E103" s="47" t="s">
        <v>396</v>
      </c>
      <c r="G103" s="54">
        <v>154.98</v>
      </c>
    </row>
    <row r="104" spans="6:7" ht="12.75">
      <c r="F104" s="47" t="s">
        <v>494</v>
      </c>
      <c r="G104" s="54">
        <v>53.6</v>
      </c>
    </row>
    <row r="105" spans="1:7" ht="12.75">
      <c r="A105" s="47"/>
      <c r="B105" s="47"/>
      <c r="C105" s="47"/>
      <c r="D105" s="47"/>
      <c r="E105" s="47"/>
      <c r="F105" s="47" t="s">
        <v>495</v>
      </c>
      <c r="G105" s="54">
        <v>49.57</v>
      </c>
    </row>
    <row r="106" spans="1:7" ht="12.75">
      <c r="A106" s="47"/>
      <c r="B106" s="47"/>
      <c r="C106" s="47"/>
      <c r="D106" s="47"/>
      <c r="E106" s="47"/>
      <c r="F106" s="47" t="s">
        <v>496</v>
      </c>
      <c r="G106" s="54">
        <v>10.26</v>
      </c>
    </row>
    <row r="107" spans="1:7" ht="12.75">
      <c r="A107" s="47"/>
      <c r="B107" s="47"/>
      <c r="C107" s="47"/>
      <c r="D107" s="47"/>
      <c r="E107" s="47"/>
      <c r="F107" s="47" t="s">
        <v>497</v>
      </c>
      <c r="G107" s="54">
        <v>33</v>
      </c>
    </row>
    <row r="108" spans="1:7" ht="12.75">
      <c r="A108" s="47"/>
      <c r="B108" s="47"/>
      <c r="C108" s="47"/>
      <c r="D108" s="47"/>
      <c r="E108" s="47"/>
      <c r="F108" s="47" t="s">
        <v>498</v>
      </c>
      <c r="G108" s="54">
        <v>1.09</v>
      </c>
    </row>
    <row r="109" spans="1:7" ht="12.75">
      <c r="A109" s="47"/>
      <c r="B109" s="47"/>
      <c r="C109" s="47"/>
      <c r="D109" s="47"/>
      <c r="E109" s="47"/>
      <c r="F109" s="47" t="s">
        <v>499</v>
      </c>
      <c r="G109" s="54">
        <v>2.49</v>
      </c>
    </row>
    <row r="110" spans="1:7" ht="12.75">
      <c r="A110" s="47"/>
      <c r="B110" s="47"/>
      <c r="C110" s="47"/>
      <c r="D110" s="47"/>
      <c r="E110" s="47"/>
      <c r="F110" s="47" t="s">
        <v>502</v>
      </c>
      <c r="G110" s="54">
        <v>1.14</v>
      </c>
    </row>
    <row r="111" spans="1:7" ht="12.75">
      <c r="A111" s="47"/>
      <c r="B111" s="47"/>
      <c r="C111" s="47"/>
      <c r="D111" s="47"/>
      <c r="E111" s="47"/>
      <c r="F111" s="47" t="s">
        <v>503</v>
      </c>
      <c r="G111" s="54">
        <v>2.38</v>
      </c>
    </row>
    <row r="112" spans="1:7" ht="12.75">
      <c r="A112" s="47"/>
      <c r="B112" s="47"/>
      <c r="C112" s="47"/>
      <c r="D112" s="47"/>
      <c r="E112" s="47"/>
      <c r="F112" s="47" t="s">
        <v>504</v>
      </c>
      <c r="G112" s="54">
        <v>1.45</v>
      </c>
    </row>
    <row r="113" spans="1:7" ht="12.75">
      <c r="A113" s="47"/>
      <c r="B113" s="47"/>
      <c r="C113" s="47"/>
      <c r="D113" s="47"/>
      <c r="E113" s="47"/>
      <c r="F113" s="47" t="s">
        <v>505</v>
      </c>
      <c r="G113" s="54">
        <v>0</v>
      </c>
    </row>
    <row r="114" spans="1:7" ht="12.75">
      <c r="A114" s="47"/>
      <c r="B114" s="47"/>
      <c r="C114" s="47"/>
      <c r="D114" s="47"/>
      <c r="E114" s="47"/>
      <c r="F114" s="47" t="s">
        <v>506</v>
      </c>
      <c r="G114" s="54">
        <v>0</v>
      </c>
    </row>
    <row r="115" spans="1:7" ht="12.75">
      <c r="A115" s="47" t="s">
        <v>131</v>
      </c>
      <c r="B115" s="47" t="s">
        <v>70</v>
      </c>
      <c r="C115" s="47" t="s">
        <v>211</v>
      </c>
      <c r="D115" s="47" t="s">
        <v>328</v>
      </c>
      <c r="E115" s="47" t="s">
        <v>396</v>
      </c>
      <c r="G115" s="54">
        <v>154.98</v>
      </c>
    </row>
    <row r="116" spans="6:7" ht="12.75">
      <c r="F116" s="47" t="s">
        <v>494</v>
      </c>
      <c r="G116" s="54">
        <v>53.6</v>
      </c>
    </row>
    <row r="117" spans="1:7" ht="12.75">
      <c r="A117" s="47"/>
      <c r="B117" s="47"/>
      <c r="C117" s="47"/>
      <c r="D117" s="47"/>
      <c r="E117" s="47"/>
      <c r="F117" s="47" t="s">
        <v>495</v>
      </c>
      <c r="G117" s="54">
        <v>49.57</v>
      </c>
    </row>
    <row r="118" spans="1:7" ht="12.75">
      <c r="A118" s="47"/>
      <c r="B118" s="47"/>
      <c r="C118" s="47"/>
      <c r="D118" s="47"/>
      <c r="E118" s="47"/>
      <c r="F118" s="47" t="s">
        <v>496</v>
      </c>
      <c r="G118" s="54">
        <v>10.26</v>
      </c>
    </row>
    <row r="119" spans="1:7" ht="12.75">
      <c r="A119" s="47"/>
      <c r="B119" s="47"/>
      <c r="C119" s="47"/>
      <c r="D119" s="47"/>
      <c r="E119" s="47"/>
      <c r="F119" s="47" t="s">
        <v>497</v>
      </c>
      <c r="G119" s="54">
        <v>33</v>
      </c>
    </row>
    <row r="120" spans="1:7" ht="12.75">
      <c r="A120" s="47"/>
      <c r="B120" s="47"/>
      <c r="C120" s="47"/>
      <c r="D120" s="47"/>
      <c r="E120" s="47"/>
      <c r="F120" s="47" t="s">
        <v>498</v>
      </c>
      <c r="G120" s="54">
        <v>1.09</v>
      </c>
    </row>
    <row r="121" spans="1:7" ht="12.75">
      <c r="A121" s="47"/>
      <c r="B121" s="47"/>
      <c r="C121" s="47"/>
      <c r="D121" s="47"/>
      <c r="E121" s="47"/>
      <c r="F121" s="47" t="s">
        <v>499</v>
      </c>
      <c r="G121" s="54">
        <v>2.49</v>
      </c>
    </row>
    <row r="122" spans="1:7" ht="12.75">
      <c r="A122" s="47"/>
      <c r="B122" s="47"/>
      <c r="C122" s="47"/>
      <c r="D122" s="47"/>
      <c r="E122" s="47"/>
      <c r="F122" s="47" t="s">
        <v>502</v>
      </c>
      <c r="G122" s="54">
        <v>1.14</v>
      </c>
    </row>
    <row r="123" spans="1:7" ht="12.75">
      <c r="A123" s="47"/>
      <c r="B123" s="47"/>
      <c r="C123" s="47"/>
      <c r="D123" s="47"/>
      <c r="E123" s="47"/>
      <c r="F123" s="47" t="s">
        <v>503</v>
      </c>
      <c r="G123" s="54">
        <v>2.38</v>
      </c>
    </row>
    <row r="124" spans="1:7" ht="12.75">
      <c r="A124" s="47"/>
      <c r="B124" s="47"/>
      <c r="C124" s="47"/>
      <c r="D124" s="47"/>
      <c r="E124" s="47"/>
      <c r="F124" s="47" t="s">
        <v>504</v>
      </c>
      <c r="G124" s="54">
        <v>1.45</v>
      </c>
    </row>
    <row r="125" spans="1:7" ht="12.75">
      <c r="A125" s="47"/>
      <c r="B125" s="47"/>
      <c r="C125" s="47"/>
      <c r="D125" s="47"/>
      <c r="E125" s="47"/>
      <c r="F125" s="47" t="s">
        <v>507</v>
      </c>
      <c r="G125" s="54">
        <v>0</v>
      </c>
    </row>
    <row r="126" spans="1:7" ht="12.75">
      <c r="A126" s="47" t="s">
        <v>132</v>
      </c>
      <c r="B126" s="47" t="s">
        <v>70</v>
      </c>
      <c r="C126" s="47" t="s">
        <v>212</v>
      </c>
      <c r="D126" s="47" t="s">
        <v>330</v>
      </c>
      <c r="E126" s="47" t="s">
        <v>398</v>
      </c>
      <c r="F126" s="47" t="s">
        <v>508</v>
      </c>
      <c r="G126" s="54">
        <v>10.72</v>
      </c>
    </row>
    <row r="127" spans="1:7" ht="12.75">
      <c r="A127" s="47" t="s">
        <v>133</v>
      </c>
      <c r="B127" s="47" t="s">
        <v>70</v>
      </c>
      <c r="C127" s="47" t="s">
        <v>214</v>
      </c>
      <c r="D127" s="47" t="s">
        <v>332</v>
      </c>
      <c r="E127" s="47" t="s">
        <v>396</v>
      </c>
      <c r="F127" s="47" t="s">
        <v>509</v>
      </c>
      <c r="G127" s="54">
        <v>3</v>
      </c>
    </row>
    <row r="128" spans="1:7" ht="12.75">
      <c r="A128" s="47" t="s">
        <v>134</v>
      </c>
      <c r="B128" s="47" t="s">
        <v>70</v>
      </c>
      <c r="C128" s="47" t="s">
        <v>215</v>
      </c>
      <c r="D128" s="47" t="s">
        <v>334</v>
      </c>
      <c r="E128" s="47" t="s">
        <v>396</v>
      </c>
      <c r="G128" s="54">
        <v>1</v>
      </c>
    </row>
    <row r="129" spans="6:7" ht="12.75">
      <c r="F129" s="47" t="s">
        <v>510</v>
      </c>
      <c r="G129" s="54">
        <v>0.32</v>
      </c>
    </row>
    <row r="130" spans="1:7" ht="12.75">
      <c r="A130" s="47"/>
      <c r="B130" s="47"/>
      <c r="C130" s="47"/>
      <c r="D130" s="47"/>
      <c r="E130" s="47"/>
      <c r="F130" s="47" t="s">
        <v>511</v>
      </c>
      <c r="G130" s="54">
        <v>0.68</v>
      </c>
    </row>
    <row r="131" spans="1:7" ht="12.75">
      <c r="A131" s="48" t="s">
        <v>135</v>
      </c>
      <c r="B131" s="48" t="s">
        <v>70</v>
      </c>
      <c r="C131" s="48" t="s">
        <v>216</v>
      </c>
      <c r="D131" s="48" t="s">
        <v>336</v>
      </c>
      <c r="E131" s="48" t="s">
        <v>396</v>
      </c>
      <c r="G131" s="55">
        <v>1.65</v>
      </c>
    </row>
    <row r="132" spans="6:7" ht="12.75">
      <c r="F132" s="48" t="s">
        <v>512</v>
      </c>
      <c r="G132" s="55">
        <v>1.5</v>
      </c>
    </row>
    <row r="133" spans="1:7" ht="12.75">
      <c r="A133" s="48"/>
      <c r="B133" s="48"/>
      <c r="C133" s="48"/>
      <c r="D133" s="48"/>
      <c r="E133" s="48"/>
      <c r="F133" s="48" t="s">
        <v>513</v>
      </c>
      <c r="G133" s="55">
        <v>0.15</v>
      </c>
    </row>
    <row r="134" spans="1:7" ht="12.75">
      <c r="A134" s="47" t="s">
        <v>136</v>
      </c>
      <c r="B134" s="47" t="s">
        <v>70</v>
      </c>
      <c r="C134" s="47" t="s">
        <v>217</v>
      </c>
      <c r="D134" s="47" t="s">
        <v>337</v>
      </c>
      <c r="E134" s="47" t="s">
        <v>398</v>
      </c>
      <c r="F134" s="47" t="s">
        <v>514</v>
      </c>
      <c r="G134" s="54">
        <v>0.01</v>
      </c>
    </row>
    <row r="135" spans="1:7" ht="12.75">
      <c r="A135" s="47" t="s">
        <v>137</v>
      </c>
      <c r="B135" s="47" t="s">
        <v>70</v>
      </c>
      <c r="C135" s="47" t="s">
        <v>219</v>
      </c>
      <c r="D135" s="47" t="s">
        <v>339</v>
      </c>
      <c r="E135" s="47" t="s">
        <v>401</v>
      </c>
      <c r="G135" s="54">
        <v>1400</v>
      </c>
    </row>
    <row r="136" spans="6:7" ht="12.75">
      <c r="F136" s="47" t="s">
        <v>515</v>
      </c>
      <c r="G136" s="54">
        <v>1400</v>
      </c>
    </row>
    <row r="137" spans="1:7" ht="12.75">
      <c r="A137" s="47"/>
      <c r="B137" s="47"/>
      <c r="C137" s="47"/>
      <c r="D137" s="47"/>
      <c r="E137" s="47"/>
      <c r="F137" s="47" t="s">
        <v>516</v>
      </c>
      <c r="G137" s="54">
        <v>0</v>
      </c>
    </row>
    <row r="138" spans="1:7" ht="12.75">
      <c r="A138" s="47" t="s">
        <v>138</v>
      </c>
      <c r="B138" s="47" t="s">
        <v>70</v>
      </c>
      <c r="C138" s="47" t="s">
        <v>220</v>
      </c>
      <c r="D138" s="47" t="s">
        <v>340</v>
      </c>
      <c r="E138" s="47" t="s">
        <v>396</v>
      </c>
      <c r="G138" s="54">
        <v>9.18</v>
      </c>
    </row>
    <row r="139" spans="6:7" ht="12.75">
      <c r="F139" s="47" t="s">
        <v>517</v>
      </c>
      <c r="G139" s="54">
        <v>3.4</v>
      </c>
    </row>
    <row r="140" spans="1:7" ht="12.75">
      <c r="A140" s="47"/>
      <c r="B140" s="47"/>
      <c r="C140" s="47"/>
      <c r="D140" s="47"/>
      <c r="E140" s="47"/>
      <c r="F140" s="47" t="s">
        <v>518</v>
      </c>
      <c r="G140" s="54">
        <v>5.78</v>
      </c>
    </row>
    <row r="141" spans="1:7" ht="12.75">
      <c r="A141" s="47" t="s">
        <v>139</v>
      </c>
      <c r="B141" s="47" t="s">
        <v>70</v>
      </c>
      <c r="C141" s="47" t="s">
        <v>221</v>
      </c>
      <c r="D141" s="47" t="s">
        <v>341</v>
      </c>
      <c r="E141" s="47" t="s">
        <v>400</v>
      </c>
      <c r="F141" s="47" t="s">
        <v>519</v>
      </c>
      <c r="G141" s="54">
        <v>11.6</v>
      </c>
    </row>
    <row r="142" spans="1:7" ht="12.75">
      <c r="A142" s="47" t="s">
        <v>140</v>
      </c>
      <c r="B142" s="47" t="s">
        <v>70</v>
      </c>
      <c r="C142" s="47" t="s">
        <v>222</v>
      </c>
      <c r="D142" s="47" t="s">
        <v>342</v>
      </c>
      <c r="E142" s="47" t="s">
        <v>401</v>
      </c>
      <c r="F142" s="47" t="s">
        <v>520</v>
      </c>
      <c r="G142" s="54">
        <v>1600</v>
      </c>
    </row>
    <row r="143" spans="1:7" ht="12.75">
      <c r="A143" s="48" t="s">
        <v>141</v>
      </c>
      <c r="B143" s="48" t="s">
        <v>70</v>
      </c>
      <c r="C143" s="48" t="s">
        <v>223</v>
      </c>
      <c r="D143" s="48" t="s">
        <v>343</v>
      </c>
      <c r="E143" s="48" t="s">
        <v>398</v>
      </c>
      <c r="G143" s="55">
        <v>0.39</v>
      </c>
    </row>
    <row r="144" spans="6:7" ht="12.75">
      <c r="F144" s="48" t="s">
        <v>521</v>
      </c>
      <c r="G144" s="55">
        <v>0.33</v>
      </c>
    </row>
    <row r="145" spans="1:7" ht="12.75">
      <c r="A145" s="48"/>
      <c r="B145" s="48"/>
      <c r="C145" s="48"/>
      <c r="D145" s="48"/>
      <c r="E145" s="48"/>
      <c r="F145" s="48" t="s">
        <v>522</v>
      </c>
      <c r="G145" s="55">
        <v>0.02</v>
      </c>
    </row>
    <row r="146" spans="1:7" ht="12.75">
      <c r="A146" s="48"/>
      <c r="B146" s="48"/>
      <c r="C146" s="48"/>
      <c r="D146" s="48"/>
      <c r="E146" s="48"/>
      <c r="F146" s="48" t="s">
        <v>523</v>
      </c>
      <c r="G146" s="55">
        <v>0.02</v>
      </c>
    </row>
    <row r="147" spans="1:7" ht="12.75">
      <c r="A147" s="48"/>
      <c r="B147" s="48"/>
      <c r="C147" s="48"/>
      <c r="D147" s="48"/>
      <c r="E147" s="48"/>
      <c r="F147" s="48" t="s">
        <v>524</v>
      </c>
      <c r="G147" s="55">
        <v>0.02</v>
      </c>
    </row>
    <row r="148" spans="1:7" ht="12.75">
      <c r="A148" s="48" t="s">
        <v>142</v>
      </c>
      <c r="B148" s="48" t="s">
        <v>70</v>
      </c>
      <c r="C148" s="48" t="s">
        <v>224</v>
      </c>
      <c r="D148" s="48" t="s">
        <v>344</v>
      </c>
      <c r="E148" s="48" t="s">
        <v>398</v>
      </c>
      <c r="F148" s="48" t="s">
        <v>525</v>
      </c>
      <c r="G148" s="55">
        <v>0.01</v>
      </c>
    </row>
    <row r="149" spans="1:7" ht="12.75">
      <c r="A149" s="48" t="s">
        <v>143</v>
      </c>
      <c r="B149" s="48" t="s">
        <v>70</v>
      </c>
      <c r="C149" s="48" t="s">
        <v>225</v>
      </c>
      <c r="D149" s="48" t="s">
        <v>345</v>
      </c>
      <c r="E149" s="48" t="s">
        <v>398</v>
      </c>
      <c r="G149" s="55">
        <v>0.04</v>
      </c>
    </row>
    <row r="150" spans="6:7" ht="12.75">
      <c r="F150" s="48" t="s">
        <v>526</v>
      </c>
      <c r="G150" s="55">
        <v>0.03</v>
      </c>
    </row>
    <row r="151" spans="1:7" ht="12.75">
      <c r="A151" s="48"/>
      <c r="B151" s="48"/>
      <c r="C151" s="48"/>
      <c r="D151" s="48"/>
      <c r="E151" s="48"/>
      <c r="F151" s="48" t="s">
        <v>527</v>
      </c>
      <c r="G151" s="55">
        <v>0.01</v>
      </c>
    </row>
    <row r="152" spans="1:7" ht="12.75">
      <c r="A152" s="48"/>
      <c r="B152" s="48"/>
      <c r="C152" s="48"/>
      <c r="D152" s="48"/>
      <c r="E152" s="48"/>
      <c r="F152" s="48" t="s">
        <v>528</v>
      </c>
      <c r="G152" s="55">
        <v>0</v>
      </c>
    </row>
    <row r="153" spans="1:7" ht="12.75">
      <c r="A153" s="48"/>
      <c r="B153" s="48"/>
      <c r="C153" s="48"/>
      <c r="D153" s="48"/>
      <c r="E153" s="48"/>
      <c r="F153" s="48" t="s">
        <v>529</v>
      </c>
      <c r="G153" s="55">
        <v>0</v>
      </c>
    </row>
    <row r="154" spans="1:7" ht="12.75">
      <c r="A154" s="48"/>
      <c r="B154" s="48"/>
      <c r="C154" s="48"/>
      <c r="D154" s="48"/>
      <c r="E154" s="48"/>
      <c r="F154" s="48" t="s">
        <v>530</v>
      </c>
      <c r="G154" s="55">
        <v>0</v>
      </c>
    </row>
    <row r="155" spans="1:7" ht="12.75">
      <c r="A155" s="48" t="s">
        <v>144</v>
      </c>
      <c r="B155" s="48" t="s">
        <v>70</v>
      </c>
      <c r="C155" s="48" t="s">
        <v>226</v>
      </c>
      <c r="D155" s="48" t="s">
        <v>346</v>
      </c>
      <c r="E155" s="48" t="s">
        <v>398</v>
      </c>
      <c r="G155" s="55">
        <v>0.08</v>
      </c>
    </row>
    <row r="156" spans="6:7" ht="12.75">
      <c r="F156" s="48" t="s">
        <v>531</v>
      </c>
      <c r="G156" s="55">
        <v>0.07</v>
      </c>
    </row>
    <row r="157" spans="1:7" ht="12.75">
      <c r="A157" s="48"/>
      <c r="B157" s="48"/>
      <c r="C157" s="48"/>
      <c r="D157" s="48"/>
      <c r="E157" s="48"/>
      <c r="F157" s="48" t="s">
        <v>532</v>
      </c>
      <c r="G157" s="55">
        <v>0.01</v>
      </c>
    </row>
    <row r="158" spans="1:7" ht="12.75">
      <c r="A158" s="48" t="s">
        <v>145</v>
      </c>
      <c r="B158" s="48" t="s">
        <v>70</v>
      </c>
      <c r="C158" s="48" t="s">
        <v>227</v>
      </c>
      <c r="D158" s="48" t="s">
        <v>347</v>
      </c>
      <c r="E158" s="48" t="s">
        <v>398</v>
      </c>
      <c r="G158" s="55">
        <v>0.07</v>
      </c>
    </row>
    <row r="159" spans="6:7" ht="12.75">
      <c r="F159" s="48" t="s">
        <v>533</v>
      </c>
      <c r="G159" s="55">
        <v>0.01</v>
      </c>
    </row>
    <row r="160" spans="1:7" ht="12.75">
      <c r="A160" s="48"/>
      <c r="B160" s="48"/>
      <c r="C160" s="48"/>
      <c r="D160" s="48"/>
      <c r="E160" s="48"/>
      <c r="F160" s="48" t="s">
        <v>534</v>
      </c>
      <c r="G160" s="55">
        <v>0.05</v>
      </c>
    </row>
    <row r="161" spans="1:7" ht="12.75">
      <c r="A161" s="48"/>
      <c r="B161" s="48"/>
      <c r="C161" s="48"/>
      <c r="D161" s="48"/>
      <c r="E161" s="48"/>
      <c r="F161" s="48" t="s">
        <v>535</v>
      </c>
      <c r="G161" s="55">
        <v>0.01</v>
      </c>
    </row>
    <row r="162" spans="1:7" ht="12.75">
      <c r="A162" s="48" t="s">
        <v>146</v>
      </c>
      <c r="B162" s="48" t="s">
        <v>70</v>
      </c>
      <c r="C162" s="48" t="s">
        <v>228</v>
      </c>
      <c r="D162" s="48" t="s">
        <v>348</v>
      </c>
      <c r="E162" s="48" t="s">
        <v>398</v>
      </c>
      <c r="G162" s="55">
        <v>0.06</v>
      </c>
    </row>
    <row r="163" spans="6:7" ht="12.75">
      <c r="F163" s="48" t="s">
        <v>536</v>
      </c>
      <c r="G163" s="55">
        <v>0.06</v>
      </c>
    </row>
    <row r="164" spans="1:7" ht="12.75">
      <c r="A164" s="48"/>
      <c r="B164" s="48"/>
      <c r="C164" s="48"/>
      <c r="D164" s="48"/>
      <c r="E164" s="48"/>
      <c r="F164" s="48" t="s">
        <v>537</v>
      </c>
      <c r="G164" s="55">
        <v>0</v>
      </c>
    </row>
    <row r="165" spans="1:7" ht="12.75">
      <c r="A165" s="48" t="s">
        <v>147</v>
      </c>
      <c r="B165" s="48" t="s">
        <v>70</v>
      </c>
      <c r="C165" s="48" t="s">
        <v>229</v>
      </c>
      <c r="D165" s="48" t="s">
        <v>349</v>
      </c>
      <c r="E165" s="48" t="s">
        <v>396</v>
      </c>
      <c r="G165" s="55">
        <v>133.31</v>
      </c>
    </row>
    <row r="166" spans="6:7" ht="12.75">
      <c r="F166" s="48" t="s">
        <v>538</v>
      </c>
      <c r="G166" s="55">
        <v>114</v>
      </c>
    </row>
    <row r="167" spans="1:7" ht="12.75">
      <c r="A167" s="48"/>
      <c r="B167" s="48"/>
      <c r="C167" s="48"/>
      <c r="D167" s="48"/>
      <c r="E167" s="48"/>
      <c r="F167" s="48" t="s">
        <v>539</v>
      </c>
      <c r="G167" s="55">
        <v>8.16</v>
      </c>
    </row>
    <row r="168" spans="1:7" ht="12.75">
      <c r="A168" s="48"/>
      <c r="B168" s="48"/>
      <c r="C168" s="48"/>
      <c r="D168" s="48"/>
      <c r="E168" s="48"/>
      <c r="F168" s="48" t="s">
        <v>540</v>
      </c>
      <c r="G168" s="55">
        <v>4.8</v>
      </c>
    </row>
    <row r="169" spans="1:7" ht="12.75">
      <c r="A169" s="48"/>
      <c r="B169" s="48"/>
      <c r="C169" s="48"/>
      <c r="D169" s="48"/>
      <c r="E169" s="48"/>
      <c r="F169" s="48" t="s">
        <v>541</v>
      </c>
      <c r="G169" s="55">
        <v>6.35</v>
      </c>
    </row>
    <row r="170" spans="1:7" ht="12.75">
      <c r="A170" s="48" t="s">
        <v>148</v>
      </c>
      <c r="B170" s="48" t="s">
        <v>70</v>
      </c>
      <c r="C170" s="48" t="s">
        <v>230</v>
      </c>
      <c r="D170" s="48" t="s">
        <v>350</v>
      </c>
      <c r="E170" s="48" t="s">
        <v>398</v>
      </c>
      <c r="G170" s="55">
        <v>0.02</v>
      </c>
    </row>
    <row r="171" spans="6:7" ht="12.75">
      <c r="F171" s="48" t="s">
        <v>542</v>
      </c>
      <c r="G171" s="55">
        <v>0.01</v>
      </c>
    </row>
    <row r="172" spans="1:7" ht="12.75">
      <c r="A172" s="48"/>
      <c r="B172" s="48"/>
      <c r="C172" s="48"/>
      <c r="D172" s="48"/>
      <c r="E172" s="48"/>
      <c r="F172" s="48" t="s">
        <v>543</v>
      </c>
      <c r="G172" s="55">
        <v>0.01</v>
      </c>
    </row>
    <row r="173" spans="1:7" ht="12.75">
      <c r="A173" s="48" t="s">
        <v>149</v>
      </c>
      <c r="B173" s="48" t="s">
        <v>70</v>
      </c>
      <c r="C173" s="48" t="s">
        <v>231</v>
      </c>
      <c r="D173" s="48" t="s">
        <v>351</v>
      </c>
      <c r="E173" s="48" t="s">
        <v>398</v>
      </c>
      <c r="G173" s="55">
        <v>0.01</v>
      </c>
    </row>
    <row r="174" spans="6:7" ht="12.75">
      <c r="F174" s="48" t="s">
        <v>544</v>
      </c>
      <c r="G174" s="55">
        <v>0.01</v>
      </c>
    </row>
    <row r="175" spans="1:7" ht="12.75">
      <c r="A175" s="48"/>
      <c r="B175" s="48"/>
      <c r="C175" s="48"/>
      <c r="D175" s="48"/>
      <c r="E175" s="48"/>
      <c r="F175" s="48" t="s">
        <v>545</v>
      </c>
      <c r="G175" s="55">
        <v>0</v>
      </c>
    </row>
    <row r="176" spans="1:7" ht="12.75">
      <c r="A176" s="48" t="s">
        <v>150</v>
      </c>
      <c r="B176" s="48" t="s">
        <v>70</v>
      </c>
      <c r="C176" s="48" t="s">
        <v>232</v>
      </c>
      <c r="D176" s="48" t="s">
        <v>352</v>
      </c>
      <c r="E176" s="48" t="s">
        <v>399</v>
      </c>
      <c r="F176" s="48" t="s">
        <v>106</v>
      </c>
      <c r="G176" s="55">
        <v>8</v>
      </c>
    </row>
    <row r="177" spans="1:7" ht="12.75">
      <c r="A177" s="47" t="s">
        <v>151</v>
      </c>
      <c r="B177" s="47" t="s">
        <v>70</v>
      </c>
      <c r="C177" s="47" t="s">
        <v>233</v>
      </c>
      <c r="D177" s="47" t="s">
        <v>353</v>
      </c>
      <c r="E177" s="47" t="s">
        <v>399</v>
      </c>
      <c r="G177" s="54">
        <v>131</v>
      </c>
    </row>
    <row r="178" spans="6:7" ht="12.75">
      <c r="F178" s="47" t="s">
        <v>546</v>
      </c>
      <c r="G178" s="54">
        <v>108</v>
      </c>
    </row>
    <row r="179" spans="1:7" ht="12.75">
      <c r="A179" s="47"/>
      <c r="B179" s="47"/>
      <c r="C179" s="47"/>
      <c r="D179" s="47"/>
      <c r="E179" s="47"/>
      <c r="F179" s="47" t="s">
        <v>547</v>
      </c>
      <c r="G179" s="54">
        <v>8</v>
      </c>
    </row>
    <row r="180" spans="1:7" ht="12.75">
      <c r="A180" s="47"/>
      <c r="B180" s="47"/>
      <c r="C180" s="47"/>
      <c r="D180" s="47"/>
      <c r="E180" s="47"/>
      <c r="F180" s="47" t="s">
        <v>548</v>
      </c>
      <c r="G180" s="54">
        <v>15</v>
      </c>
    </row>
    <row r="181" spans="1:7" ht="12.75">
      <c r="A181" s="48" t="s">
        <v>152</v>
      </c>
      <c r="B181" s="48" t="s">
        <v>70</v>
      </c>
      <c r="C181" s="48" t="s">
        <v>234</v>
      </c>
      <c r="D181" s="48" t="s">
        <v>354</v>
      </c>
      <c r="E181" s="48" t="s">
        <v>400</v>
      </c>
      <c r="F181" s="48" t="s">
        <v>549</v>
      </c>
      <c r="G181" s="55">
        <v>2</v>
      </c>
    </row>
    <row r="182" spans="1:7" ht="12.75">
      <c r="A182" s="48" t="s">
        <v>153</v>
      </c>
      <c r="B182" s="48" t="s">
        <v>70</v>
      </c>
      <c r="C182" s="48" t="s">
        <v>235</v>
      </c>
      <c r="D182" s="48" t="s">
        <v>355</v>
      </c>
      <c r="E182" s="48" t="s">
        <v>398</v>
      </c>
      <c r="F182" s="48" t="s">
        <v>550</v>
      </c>
      <c r="G182" s="55">
        <v>0.01</v>
      </c>
    </row>
    <row r="183" spans="1:7" ht="12.75">
      <c r="A183" s="48" t="s">
        <v>154</v>
      </c>
      <c r="B183" s="48" t="s">
        <v>70</v>
      </c>
      <c r="C183" s="48" t="s">
        <v>236</v>
      </c>
      <c r="D183" s="48" t="s">
        <v>356</v>
      </c>
      <c r="E183" s="48" t="s">
        <v>399</v>
      </c>
      <c r="F183" s="48" t="s">
        <v>106</v>
      </c>
      <c r="G183" s="55">
        <v>8</v>
      </c>
    </row>
    <row r="184" spans="1:7" ht="12.75">
      <c r="A184" s="48" t="s">
        <v>155</v>
      </c>
      <c r="B184" s="48" t="s">
        <v>70</v>
      </c>
      <c r="C184" s="48" t="s">
        <v>237</v>
      </c>
      <c r="D184" s="48" t="s">
        <v>357</v>
      </c>
      <c r="E184" s="48" t="s">
        <v>399</v>
      </c>
      <c r="F184" s="48" t="s">
        <v>106</v>
      </c>
      <c r="G184" s="55">
        <v>8</v>
      </c>
    </row>
    <row r="185" spans="1:7" ht="12.75">
      <c r="A185" s="48" t="s">
        <v>156</v>
      </c>
      <c r="B185" s="48" t="s">
        <v>70</v>
      </c>
      <c r="C185" s="48" t="s">
        <v>238</v>
      </c>
      <c r="D185" s="48" t="s">
        <v>358</v>
      </c>
      <c r="E185" s="48" t="s">
        <v>400</v>
      </c>
      <c r="G185" s="55">
        <v>31.19</v>
      </c>
    </row>
    <row r="186" spans="6:7" ht="12.75">
      <c r="F186" s="48" t="s">
        <v>551</v>
      </c>
      <c r="G186" s="55">
        <v>29.7</v>
      </c>
    </row>
    <row r="187" spans="1:7" ht="12.75">
      <c r="A187" s="48"/>
      <c r="B187" s="48"/>
      <c r="C187" s="48"/>
      <c r="D187" s="48"/>
      <c r="E187" s="48"/>
      <c r="F187" s="48" t="s">
        <v>552</v>
      </c>
      <c r="G187" s="55">
        <v>0</v>
      </c>
    </row>
    <row r="188" spans="1:7" ht="12.75">
      <c r="A188" s="48"/>
      <c r="B188" s="48"/>
      <c r="C188" s="48"/>
      <c r="D188" s="48"/>
      <c r="E188" s="48"/>
      <c r="F188" s="48" t="s">
        <v>553</v>
      </c>
      <c r="G188" s="55">
        <v>1.49</v>
      </c>
    </row>
    <row r="189" spans="1:7" ht="12.75">
      <c r="A189" s="48" t="s">
        <v>157</v>
      </c>
      <c r="B189" s="48" t="s">
        <v>70</v>
      </c>
      <c r="C189" s="48" t="s">
        <v>239</v>
      </c>
      <c r="D189" s="48" t="s">
        <v>359</v>
      </c>
      <c r="E189" s="48" t="s">
        <v>400</v>
      </c>
      <c r="F189" s="48" t="s">
        <v>554</v>
      </c>
      <c r="G189" s="55">
        <v>29.7</v>
      </c>
    </row>
    <row r="190" spans="1:7" ht="12.75">
      <c r="A190" s="48" t="s">
        <v>158</v>
      </c>
      <c r="B190" s="48" t="s">
        <v>70</v>
      </c>
      <c r="C190" s="48" t="s">
        <v>240</v>
      </c>
      <c r="D190" s="48" t="s">
        <v>360</v>
      </c>
      <c r="E190" s="48" t="s">
        <v>402</v>
      </c>
      <c r="F190" s="48" t="s">
        <v>555</v>
      </c>
      <c r="G190" s="55">
        <v>1.1</v>
      </c>
    </row>
    <row r="191" spans="1:7" ht="12.75">
      <c r="A191" s="48" t="s">
        <v>159</v>
      </c>
      <c r="B191" s="48" t="s">
        <v>70</v>
      </c>
      <c r="C191" s="48" t="s">
        <v>241</v>
      </c>
      <c r="D191" s="48" t="s">
        <v>361</v>
      </c>
      <c r="E191" s="48" t="s">
        <v>399</v>
      </c>
      <c r="F191" s="48" t="s">
        <v>84</v>
      </c>
      <c r="G191" s="55">
        <v>2</v>
      </c>
    </row>
    <row r="192" spans="1:7" ht="12.75">
      <c r="A192" s="48" t="s">
        <v>160</v>
      </c>
      <c r="B192" s="48" t="s">
        <v>70</v>
      </c>
      <c r="C192" s="48" t="s">
        <v>242</v>
      </c>
      <c r="D192" s="48" t="s">
        <v>362</v>
      </c>
      <c r="E192" s="48" t="s">
        <v>396</v>
      </c>
      <c r="G192" s="55">
        <v>25.34</v>
      </c>
    </row>
    <row r="193" spans="6:7" ht="12.75">
      <c r="F193" s="48" t="s">
        <v>556</v>
      </c>
      <c r="G193" s="55">
        <v>23.04</v>
      </c>
    </row>
    <row r="194" spans="1:7" ht="12.75">
      <c r="A194" s="48"/>
      <c r="B194" s="48"/>
      <c r="C194" s="48"/>
      <c r="D194" s="48"/>
      <c r="E194" s="48"/>
      <c r="F194" s="48" t="s">
        <v>557</v>
      </c>
      <c r="G194" s="55">
        <v>2.3</v>
      </c>
    </row>
    <row r="195" spans="1:7" ht="12.75">
      <c r="A195" s="47" t="s">
        <v>161</v>
      </c>
      <c r="B195" s="47" t="s">
        <v>70</v>
      </c>
      <c r="C195" s="47" t="s">
        <v>243</v>
      </c>
      <c r="D195" s="47" t="s">
        <v>363</v>
      </c>
      <c r="E195" s="47" t="s">
        <v>398</v>
      </c>
      <c r="F195" s="47" t="s">
        <v>558</v>
      </c>
      <c r="G195" s="54">
        <v>3.57</v>
      </c>
    </row>
    <row r="196" spans="1:7" ht="12.75">
      <c r="A196" s="47" t="s">
        <v>162</v>
      </c>
      <c r="B196" s="47" t="s">
        <v>70</v>
      </c>
      <c r="C196" s="47" t="s">
        <v>245</v>
      </c>
      <c r="D196" s="47" t="s">
        <v>365</v>
      </c>
      <c r="E196" s="47" t="s">
        <v>396</v>
      </c>
      <c r="G196" s="54">
        <v>39.8</v>
      </c>
    </row>
    <row r="197" spans="6:7" ht="12.75">
      <c r="F197" s="47" t="s">
        <v>559</v>
      </c>
      <c r="G197" s="54">
        <v>32.4</v>
      </c>
    </row>
    <row r="198" spans="1:7" ht="12.75">
      <c r="A198" s="47"/>
      <c r="B198" s="47"/>
      <c r="C198" s="47"/>
      <c r="D198" s="47"/>
      <c r="E198" s="47"/>
      <c r="F198" s="47" t="s">
        <v>560</v>
      </c>
      <c r="G198" s="54">
        <v>2.4</v>
      </c>
    </row>
    <row r="199" spans="1:7" ht="12.75">
      <c r="A199" s="47"/>
      <c r="B199" s="47"/>
      <c r="C199" s="47"/>
      <c r="D199" s="47"/>
      <c r="E199" s="47"/>
      <c r="F199" s="47" t="s">
        <v>561</v>
      </c>
      <c r="G199" s="54">
        <v>5</v>
      </c>
    </row>
    <row r="200" spans="1:7" ht="12.75">
      <c r="A200" s="47" t="s">
        <v>163</v>
      </c>
      <c r="B200" s="47" t="s">
        <v>70</v>
      </c>
      <c r="C200" s="47" t="s">
        <v>246</v>
      </c>
      <c r="D200" s="47" t="s">
        <v>366</v>
      </c>
      <c r="E200" s="47" t="s">
        <v>396</v>
      </c>
      <c r="G200" s="54">
        <v>39.8</v>
      </c>
    </row>
    <row r="201" spans="6:7" ht="12.75">
      <c r="F201" s="47" t="s">
        <v>559</v>
      </c>
      <c r="G201" s="54">
        <v>32.4</v>
      </c>
    </row>
    <row r="202" spans="1:7" ht="12.75">
      <c r="A202" s="47"/>
      <c r="B202" s="47"/>
      <c r="C202" s="47"/>
      <c r="D202" s="47"/>
      <c r="E202" s="47"/>
      <c r="F202" s="47" t="s">
        <v>560</v>
      </c>
      <c r="G202" s="54">
        <v>2.4</v>
      </c>
    </row>
    <row r="203" spans="1:7" ht="12.75">
      <c r="A203" s="47"/>
      <c r="B203" s="47"/>
      <c r="C203" s="47"/>
      <c r="D203" s="47"/>
      <c r="E203" s="47"/>
      <c r="F203" s="47" t="s">
        <v>561</v>
      </c>
      <c r="G203" s="54">
        <v>5</v>
      </c>
    </row>
    <row r="204" spans="1:7" ht="12.75">
      <c r="A204" s="47" t="s">
        <v>164</v>
      </c>
      <c r="B204" s="47" t="s">
        <v>70</v>
      </c>
      <c r="C204" s="47" t="s">
        <v>247</v>
      </c>
      <c r="D204" s="47" t="s">
        <v>367</v>
      </c>
      <c r="E204" s="47" t="s">
        <v>396</v>
      </c>
      <c r="G204" s="54">
        <v>39.8</v>
      </c>
    </row>
    <row r="205" spans="6:7" ht="12.75">
      <c r="F205" s="47" t="s">
        <v>559</v>
      </c>
      <c r="G205" s="54">
        <v>32.4</v>
      </c>
    </row>
    <row r="206" spans="1:7" ht="12.75">
      <c r="A206" s="47"/>
      <c r="B206" s="47"/>
      <c r="C206" s="47"/>
      <c r="D206" s="47"/>
      <c r="E206" s="47"/>
      <c r="F206" s="47" t="s">
        <v>560</v>
      </c>
      <c r="G206" s="54">
        <v>2.4</v>
      </c>
    </row>
    <row r="207" spans="1:7" ht="12.75">
      <c r="A207" s="47"/>
      <c r="B207" s="47"/>
      <c r="C207" s="47"/>
      <c r="D207" s="47"/>
      <c r="E207" s="47"/>
      <c r="F207" s="47" t="s">
        <v>561</v>
      </c>
      <c r="G207" s="54">
        <v>5</v>
      </c>
    </row>
    <row r="208" spans="1:7" ht="12.75">
      <c r="A208" s="47" t="s">
        <v>165</v>
      </c>
      <c r="B208" s="47" t="s">
        <v>70</v>
      </c>
      <c r="C208" s="47" t="s">
        <v>248</v>
      </c>
      <c r="D208" s="47" t="s">
        <v>369</v>
      </c>
      <c r="E208" s="47" t="s">
        <v>396</v>
      </c>
      <c r="F208" s="47" t="s">
        <v>562</v>
      </c>
      <c r="G208" s="54">
        <v>133.31</v>
      </c>
    </row>
    <row r="209" spans="1:7" ht="12.75">
      <c r="A209" s="47" t="s">
        <v>166</v>
      </c>
      <c r="B209" s="47" t="s">
        <v>70</v>
      </c>
      <c r="C209" s="47" t="s">
        <v>250</v>
      </c>
      <c r="D209" s="47" t="s">
        <v>371</v>
      </c>
      <c r="E209" s="47" t="s">
        <v>400</v>
      </c>
      <c r="G209" s="54">
        <v>49.85</v>
      </c>
    </row>
    <row r="210" spans="6:7" ht="12.75">
      <c r="F210" s="47" t="s">
        <v>563</v>
      </c>
      <c r="G210" s="54">
        <v>10.65</v>
      </c>
    </row>
    <row r="211" spans="1:7" ht="12.75">
      <c r="A211" s="47"/>
      <c r="B211" s="47"/>
      <c r="C211" s="47"/>
      <c r="D211" s="47"/>
      <c r="E211" s="47"/>
      <c r="F211" s="47" t="s">
        <v>564</v>
      </c>
      <c r="G211" s="54">
        <v>39.2</v>
      </c>
    </row>
    <row r="212" spans="1:7" ht="12.75">
      <c r="A212" s="47" t="s">
        <v>167</v>
      </c>
      <c r="B212" s="47" t="s">
        <v>70</v>
      </c>
      <c r="C212" s="47" t="s">
        <v>251</v>
      </c>
      <c r="D212" s="47" t="s">
        <v>372</v>
      </c>
      <c r="E212" s="47" t="s">
        <v>400</v>
      </c>
      <c r="G212" s="54">
        <v>2.7</v>
      </c>
    </row>
    <row r="213" spans="6:7" ht="12.75">
      <c r="F213" s="47" t="s">
        <v>565</v>
      </c>
      <c r="G213" s="54">
        <v>1</v>
      </c>
    </row>
    <row r="214" spans="1:7" ht="12.75">
      <c r="A214" s="47"/>
      <c r="B214" s="47"/>
      <c r="C214" s="47"/>
      <c r="D214" s="47"/>
      <c r="E214" s="47"/>
      <c r="F214" s="47" t="s">
        <v>566</v>
      </c>
      <c r="G214" s="54">
        <v>1.7</v>
      </c>
    </row>
    <row r="215" spans="1:7" ht="12.75">
      <c r="A215" s="47" t="s">
        <v>88</v>
      </c>
      <c r="B215" s="47" t="s">
        <v>70</v>
      </c>
      <c r="C215" s="47" t="s">
        <v>252</v>
      </c>
      <c r="D215" s="47" t="s">
        <v>373</v>
      </c>
      <c r="E215" s="47" t="s">
        <v>399</v>
      </c>
      <c r="F215" s="47" t="s">
        <v>83</v>
      </c>
      <c r="G215" s="54">
        <v>1</v>
      </c>
    </row>
    <row r="216" spans="1:7" ht="12.75">
      <c r="A216" s="48" t="s">
        <v>168</v>
      </c>
      <c r="B216" s="48" t="s">
        <v>70</v>
      </c>
      <c r="C216" s="48" t="s">
        <v>253</v>
      </c>
      <c r="D216" s="48" t="s">
        <v>375</v>
      </c>
      <c r="E216" s="48" t="s">
        <v>399</v>
      </c>
      <c r="F216" s="48" t="s">
        <v>567</v>
      </c>
      <c r="G216" s="55">
        <v>1</v>
      </c>
    </row>
    <row r="217" spans="1:7" ht="12.75">
      <c r="A217" s="47" t="s">
        <v>169</v>
      </c>
      <c r="B217" s="47" t="s">
        <v>70</v>
      </c>
      <c r="C217" s="47" t="s">
        <v>205</v>
      </c>
      <c r="D217" s="47" t="s">
        <v>317</v>
      </c>
      <c r="E217" s="47" t="s">
        <v>398</v>
      </c>
      <c r="F217" s="47" t="s">
        <v>568</v>
      </c>
      <c r="G217" s="54">
        <v>9.4</v>
      </c>
    </row>
    <row r="218" spans="1:7" ht="12.75">
      <c r="A218" s="47" t="s">
        <v>170</v>
      </c>
      <c r="B218" s="47" t="s">
        <v>70</v>
      </c>
      <c r="C218" s="47" t="s">
        <v>255</v>
      </c>
      <c r="D218" s="47" t="s">
        <v>377</v>
      </c>
      <c r="E218" s="47" t="s">
        <v>396</v>
      </c>
      <c r="G218" s="54">
        <v>150.01</v>
      </c>
    </row>
    <row r="219" spans="6:7" ht="12.75">
      <c r="F219" s="47" t="s">
        <v>494</v>
      </c>
      <c r="G219" s="54">
        <v>53.6</v>
      </c>
    </row>
    <row r="220" spans="1:7" ht="12.75">
      <c r="A220" s="47"/>
      <c r="B220" s="47"/>
      <c r="C220" s="47"/>
      <c r="D220" s="47"/>
      <c r="E220" s="47"/>
      <c r="F220" s="47" t="s">
        <v>495</v>
      </c>
      <c r="G220" s="54">
        <v>49.57</v>
      </c>
    </row>
    <row r="221" spans="1:7" ht="12.75">
      <c r="A221" s="47"/>
      <c r="B221" s="47"/>
      <c r="C221" s="47"/>
      <c r="D221" s="47"/>
      <c r="E221" s="47"/>
      <c r="F221" s="47" t="s">
        <v>496</v>
      </c>
      <c r="G221" s="54">
        <v>10.26</v>
      </c>
    </row>
    <row r="222" spans="1:7" ht="12.75">
      <c r="A222" s="47"/>
      <c r="B222" s="47"/>
      <c r="C222" s="47"/>
      <c r="D222" s="47"/>
      <c r="E222" s="47"/>
      <c r="F222" s="47" t="s">
        <v>497</v>
      </c>
      <c r="G222" s="54">
        <v>33</v>
      </c>
    </row>
    <row r="223" spans="1:7" ht="12.75">
      <c r="A223" s="47"/>
      <c r="B223" s="47"/>
      <c r="C223" s="47"/>
      <c r="D223" s="47"/>
      <c r="E223" s="47"/>
      <c r="F223" s="47" t="s">
        <v>498</v>
      </c>
      <c r="G223" s="54">
        <v>1.09</v>
      </c>
    </row>
    <row r="224" spans="1:7" ht="12.75">
      <c r="A224" s="47"/>
      <c r="B224" s="47"/>
      <c r="C224" s="47"/>
      <c r="D224" s="47"/>
      <c r="E224" s="47"/>
      <c r="F224" s="47" t="s">
        <v>499</v>
      </c>
      <c r="G224" s="54">
        <v>2.49</v>
      </c>
    </row>
    <row r="225" spans="1:7" ht="12.75">
      <c r="A225" s="47" t="s">
        <v>171</v>
      </c>
      <c r="B225" s="47" t="s">
        <v>70</v>
      </c>
      <c r="C225" s="47" t="s">
        <v>256</v>
      </c>
      <c r="D225" s="47" t="s">
        <v>378</v>
      </c>
      <c r="E225" s="47" t="s">
        <v>400</v>
      </c>
      <c r="G225" s="54">
        <v>2.7</v>
      </c>
    </row>
    <row r="226" spans="6:7" ht="12.75">
      <c r="F226" s="47" t="s">
        <v>565</v>
      </c>
      <c r="G226" s="54">
        <v>1</v>
      </c>
    </row>
    <row r="227" spans="1:7" ht="12.75">
      <c r="A227" s="47"/>
      <c r="B227" s="47"/>
      <c r="C227" s="47"/>
      <c r="D227" s="47"/>
      <c r="E227" s="47"/>
      <c r="F227" s="47" t="s">
        <v>566</v>
      </c>
      <c r="G227" s="54">
        <v>1.7</v>
      </c>
    </row>
    <row r="228" spans="1:7" ht="12.75">
      <c r="A228" s="47" t="s">
        <v>89</v>
      </c>
      <c r="B228" s="47" t="s">
        <v>70</v>
      </c>
      <c r="C228" s="47" t="s">
        <v>257</v>
      </c>
      <c r="D228" s="47" t="s">
        <v>379</v>
      </c>
      <c r="E228" s="47" t="s">
        <v>400</v>
      </c>
      <c r="F228" s="47" t="s">
        <v>569</v>
      </c>
      <c r="G228" s="54">
        <v>2.7</v>
      </c>
    </row>
    <row r="229" spans="1:7" ht="12.75">
      <c r="A229" s="48" t="s">
        <v>172</v>
      </c>
      <c r="B229" s="48" t="s">
        <v>70</v>
      </c>
      <c r="C229" s="48" t="s">
        <v>258</v>
      </c>
      <c r="D229" s="48" t="s">
        <v>380</v>
      </c>
      <c r="E229" s="48" t="s">
        <v>401</v>
      </c>
      <c r="F229" s="48" t="s">
        <v>86</v>
      </c>
      <c r="G229" s="55">
        <v>5</v>
      </c>
    </row>
    <row r="230" spans="1:7" ht="12.75">
      <c r="A230" s="47" t="s">
        <v>90</v>
      </c>
      <c r="B230" s="47" t="s">
        <v>70</v>
      </c>
      <c r="C230" s="47" t="s">
        <v>260</v>
      </c>
      <c r="D230" s="47" t="s">
        <v>382</v>
      </c>
      <c r="E230" s="47" t="s">
        <v>397</v>
      </c>
      <c r="F230" s="47" t="s">
        <v>570</v>
      </c>
      <c r="G230" s="54">
        <v>0.81</v>
      </c>
    </row>
    <row r="231" spans="1:7" ht="12.75">
      <c r="A231" s="47" t="s">
        <v>173</v>
      </c>
      <c r="B231" s="47" t="s">
        <v>70</v>
      </c>
      <c r="C231" s="47" t="s">
        <v>261</v>
      </c>
      <c r="D231" s="47" t="s">
        <v>383</v>
      </c>
      <c r="E231" s="47" t="s">
        <v>397</v>
      </c>
      <c r="F231" s="47" t="s">
        <v>571</v>
      </c>
      <c r="G231" s="54">
        <v>0.22</v>
      </c>
    </row>
    <row r="232" spans="1:7" ht="12.75">
      <c r="A232" s="47" t="s">
        <v>174</v>
      </c>
      <c r="B232" s="47" t="s">
        <v>70</v>
      </c>
      <c r="C232" s="47" t="s">
        <v>262</v>
      </c>
      <c r="D232" s="47" t="s">
        <v>384</v>
      </c>
      <c r="E232" s="47" t="s">
        <v>399</v>
      </c>
      <c r="F232" s="47" t="s">
        <v>572</v>
      </c>
      <c r="G232" s="54">
        <v>1</v>
      </c>
    </row>
    <row r="233" spans="1:7" ht="12.75">
      <c r="A233" s="47" t="s">
        <v>175</v>
      </c>
      <c r="B233" s="47" t="s">
        <v>70</v>
      </c>
      <c r="C233" s="47" t="s">
        <v>264</v>
      </c>
      <c r="D233" s="47" t="s">
        <v>386</v>
      </c>
      <c r="E233" s="47" t="s">
        <v>396</v>
      </c>
      <c r="G233" s="54">
        <v>150.01</v>
      </c>
    </row>
    <row r="234" spans="6:7" ht="12.75">
      <c r="F234" s="47" t="s">
        <v>494</v>
      </c>
      <c r="G234" s="54">
        <v>53.6</v>
      </c>
    </row>
    <row r="235" spans="1:7" ht="12.75">
      <c r="A235" s="47"/>
      <c r="B235" s="47"/>
      <c r="C235" s="47"/>
      <c r="D235" s="47"/>
      <c r="E235" s="47"/>
      <c r="F235" s="47" t="s">
        <v>495</v>
      </c>
      <c r="G235" s="54">
        <v>49.57</v>
      </c>
    </row>
    <row r="236" spans="1:7" ht="12.75">
      <c r="A236" s="47"/>
      <c r="B236" s="47"/>
      <c r="C236" s="47"/>
      <c r="D236" s="47"/>
      <c r="E236" s="47"/>
      <c r="F236" s="47" t="s">
        <v>496</v>
      </c>
      <c r="G236" s="54">
        <v>10.26</v>
      </c>
    </row>
    <row r="237" spans="1:7" ht="12.75">
      <c r="A237" s="47"/>
      <c r="B237" s="47"/>
      <c r="C237" s="47"/>
      <c r="D237" s="47"/>
      <c r="E237" s="47"/>
      <c r="F237" s="47" t="s">
        <v>497</v>
      </c>
      <c r="G237" s="54">
        <v>33</v>
      </c>
    </row>
    <row r="238" spans="1:7" ht="12.75">
      <c r="A238" s="47"/>
      <c r="B238" s="47"/>
      <c r="C238" s="47"/>
      <c r="D238" s="47"/>
      <c r="E238" s="47"/>
      <c r="F238" s="47" t="s">
        <v>498</v>
      </c>
      <c r="G238" s="54">
        <v>1.09</v>
      </c>
    </row>
    <row r="239" spans="1:7" ht="12.75">
      <c r="A239" s="47"/>
      <c r="B239" s="47"/>
      <c r="C239" s="47"/>
      <c r="D239" s="47"/>
      <c r="E239" s="47"/>
      <c r="F239" s="47" t="s">
        <v>499</v>
      </c>
      <c r="G239" s="54">
        <v>2.49</v>
      </c>
    </row>
    <row r="240" spans="1:7" ht="12.75">
      <c r="A240" s="47" t="s">
        <v>176</v>
      </c>
      <c r="B240" s="47" t="s">
        <v>70</v>
      </c>
      <c r="C240" s="47" t="s">
        <v>266</v>
      </c>
      <c r="D240" s="47" t="s">
        <v>388</v>
      </c>
      <c r="E240" s="47" t="s">
        <v>398</v>
      </c>
      <c r="G240" s="54">
        <v>4.4</v>
      </c>
    </row>
    <row r="241" spans="6:7" ht="12.75">
      <c r="F241" s="47" t="s">
        <v>573</v>
      </c>
      <c r="G241" s="54">
        <v>2.9</v>
      </c>
    </row>
    <row r="242" spans="1:7" ht="12.75">
      <c r="A242" s="47"/>
      <c r="B242" s="47"/>
      <c r="C242" s="47"/>
      <c r="D242" s="47"/>
      <c r="E242" s="47"/>
      <c r="F242" s="47" t="s">
        <v>574</v>
      </c>
      <c r="G242" s="54">
        <v>1.5</v>
      </c>
    </row>
    <row r="243" spans="1:7" ht="12.75">
      <c r="A243" s="47" t="s">
        <v>177</v>
      </c>
      <c r="B243" s="47" t="s">
        <v>70</v>
      </c>
      <c r="C243" s="47" t="s">
        <v>267</v>
      </c>
      <c r="D243" s="47" t="s">
        <v>389</v>
      </c>
      <c r="E243" s="47" t="s">
        <v>398</v>
      </c>
      <c r="G243" s="54">
        <v>4.4</v>
      </c>
    </row>
    <row r="244" spans="6:7" ht="12.75">
      <c r="F244" s="47" t="s">
        <v>573</v>
      </c>
      <c r="G244" s="54">
        <v>2.9</v>
      </c>
    </row>
    <row r="245" spans="1:7" ht="12.75">
      <c r="A245" s="47"/>
      <c r="B245" s="47"/>
      <c r="C245" s="47"/>
      <c r="D245" s="47"/>
      <c r="E245" s="47"/>
      <c r="F245" s="47" t="s">
        <v>574</v>
      </c>
      <c r="G245" s="54">
        <v>1.5</v>
      </c>
    </row>
    <row r="246" spans="1:7" ht="12.75">
      <c r="A246" s="47" t="s">
        <v>178</v>
      </c>
      <c r="B246" s="47" t="s">
        <v>70</v>
      </c>
      <c r="C246" s="47" t="s">
        <v>268</v>
      </c>
      <c r="D246" s="47" t="s">
        <v>390</v>
      </c>
      <c r="E246" s="47" t="s">
        <v>398</v>
      </c>
      <c r="F246" s="47" t="s">
        <v>575</v>
      </c>
      <c r="G246" s="54">
        <v>35.2</v>
      </c>
    </row>
    <row r="247" spans="1:7" ht="12.75">
      <c r="A247" s="47" t="s">
        <v>179</v>
      </c>
      <c r="B247" s="47" t="s">
        <v>70</v>
      </c>
      <c r="C247" s="47" t="s">
        <v>269</v>
      </c>
      <c r="D247" s="47" t="s">
        <v>391</v>
      </c>
      <c r="E247" s="47" t="s">
        <v>398</v>
      </c>
      <c r="G247" s="54">
        <v>4.4</v>
      </c>
    </row>
    <row r="248" spans="6:7" ht="12.75">
      <c r="F248" s="47" t="s">
        <v>573</v>
      </c>
      <c r="G248" s="54">
        <v>2.9</v>
      </c>
    </row>
    <row r="249" spans="1:7" ht="12.75">
      <c r="A249" s="47"/>
      <c r="B249" s="47"/>
      <c r="C249" s="47"/>
      <c r="D249" s="47"/>
      <c r="E249" s="47"/>
      <c r="F249" s="47" t="s">
        <v>574</v>
      </c>
      <c r="G249" s="54">
        <v>1.5</v>
      </c>
    </row>
    <row r="250" spans="1:7" ht="12.75">
      <c r="A250" s="47" t="s">
        <v>54</v>
      </c>
      <c r="B250" s="47" t="s">
        <v>70</v>
      </c>
      <c r="C250" s="47" t="s">
        <v>270</v>
      </c>
      <c r="D250" s="47" t="s">
        <v>392</v>
      </c>
      <c r="E250" s="47" t="s">
        <v>398</v>
      </c>
      <c r="G250" s="54">
        <v>4.4</v>
      </c>
    </row>
    <row r="251" spans="6:7" ht="12.75">
      <c r="F251" s="47" t="s">
        <v>573</v>
      </c>
      <c r="G251" s="54">
        <v>2.9</v>
      </c>
    </row>
    <row r="252" spans="1:7" ht="12.75">
      <c r="A252" s="47"/>
      <c r="B252" s="47"/>
      <c r="C252" s="47"/>
      <c r="D252" s="47"/>
      <c r="E252" s="47"/>
      <c r="F252" s="47" t="s">
        <v>574</v>
      </c>
      <c r="G252" s="54">
        <v>1.5</v>
      </c>
    </row>
    <row r="254" ht="11.25" customHeight="1">
      <c r="A254" s="31" t="s">
        <v>18</v>
      </c>
    </row>
    <row r="255" spans="1:7" ht="12.75">
      <c r="A255" s="96"/>
      <c r="B255" s="97"/>
      <c r="C255" s="97"/>
      <c r="D255" s="97"/>
      <c r="E255" s="97"/>
      <c r="F255" s="97"/>
      <c r="G255" s="97"/>
    </row>
  </sheetData>
  <sheetProtection/>
  <mergeCells count="18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255:G255"/>
    <mergeCell ref="A6:B7"/>
    <mergeCell ref="C6:D7"/>
    <mergeCell ref="E6:E7"/>
    <mergeCell ref="F6:G7"/>
    <mergeCell ref="A8:B9"/>
    <mergeCell ref="C8:D9"/>
    <mergeCell ref="E8:E9"/>
    <mergeCell ref="F8:G9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Boris Mičánek</cp:lastModifiedBy>
  <cp:lastPrinted>2020-04-29T09:04:18Z</cp:lastPrinted>
  <dcterms:modified xsi:type="dcterms:W3CDTF">2020-04-29T09:07:08Z</dcterms:modified>
  <cp:category/>
  <cp:version/>
  <cp:contentType/>
  <cp:contentStatus/>
</cp:coreProperties>
</file>