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<sst xmlns="http://schemas.openxmlformats.org/spreadsheetml/2006/main" count="1365" uniqueCount="424">
  <si>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</si>
  <si>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</si>
  <si>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</si>
  <si>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</si>
  <si>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</si>
  <si>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</si>
  <si>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</si>
  <si>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</si>
  <si>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</si>
  <si>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</si>
  <si>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</si>
  <si>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</si>
  <si>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</si>
  <si>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</si>
  <si>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</si>
  <si>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</si>
  <si>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</si>
  <si>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</si>
  <si>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</si>
  <si>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</si>
  <si>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</si>
  <si>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</si>
  <si>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</si>
  <si>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</si>
  <si>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</si>
  <si>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</si>
  <si>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</si>
  <si>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</si>
  <si>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</si>
  <si>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</si>
  <si>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</si>
  <si>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</si>
  <si>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</si>
  <si>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</si>
  <si>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</si>
  <si>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</si>
  <si>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</si>
  <si>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</si>
  <si>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</si>
  <si>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</si>
  <si>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</si>
  <si>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</si>
  <si>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</si>
  <si>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</si>
  <si>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</si>
  <si>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</si>
  <si>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</si>
  <si>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</si>
  <si>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</si>
  <si>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</si>
  <si>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</si>
  <si>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</si>
  <si>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</si>
  <si>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</si>
  <si>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</si>
  <si>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</si>
  <si>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</si>
  <si>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</si>
  <si>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</si>
  <si>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</si>
  <si>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</si>
  <si>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</si>
  <si>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</si>
  <si>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</si>
  <si>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</si>
  <si>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</si>
  <si>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</si>
  <si>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</si>
  <si>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</si>
  <si>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</si>
  <si>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</si>
  <si>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</si>
  <si>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</si>
  <si>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</si>
  <si>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</si>
  <si>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</si>
  <si>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</si>
  <si>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</si>
  <si>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</si>
  <si>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</si>
  <si>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</si>
  <si>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</si>
  <si>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</si>
  <si>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</si>
  <si>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</si>
  <si>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</si>
  <si>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</si>
  <si>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</si>
  <si>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</si>
  <si>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</si>
  <si>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</si>
  <si>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</si>
  <si>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</si>
  <si>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Poznámka:</t>
  </si>
  <si>
    <t>Objekt</t>
  </si>
  <si>
    <t>SO.01</t>
  </si>
  <si>
    <t>SO.02</t>
  </si>
  <si>
    <t>Kód</t>
  </si>
  <si>
    <t>132200010RA0</t>
  </si>
  <si>
    <t>131201119R00</t>
  </si>
  <si>
    <t>162701105R00</t>
  </si>
  <si>
    <t>199000002R00</t>
  </si>
  <si>
    <t>212850001RAA</t>
  </si>
  <si>
    <t>899661311VD1</t>
  </si>
  <si>
    <t>212531111R00</t>
  </si>
  <si>
    <t>871251111VD1</t>
  </si>
  <si>
    <t>721176222R00</t>
  </si>
  <si>
    <t>319202331R00</t>
  </si>
  <si>
    <t>319201317R00</t>
  </si>
  <si>
    <t>113106121R00</t>
  </si>
  <si>
    <t>979054441R00</t>
  </si>
  <si>
    <t>113107305R00</t>
  </si>
  <si>
    <t>113107315R00</t>
  </si>
  <si>
    <t>596811111R00</t>
  </si>
  <si>
    <t>564251111R00</t>
  </si>
  <si>
    <t>5924626VD1</t>
  </si>
  <si>
    <t>998223011R00</t>
  </si>
  <si>
    <t>622300153R00</t>
  </si>
  <si>
    <t>55335VD1</t>
  </si>
  <si>
    <t>602011120VD1</t>
  </si>
  <si>
    <t>602011150VD1</t>
  </si>
  <si>
    <t>622401931R00</t>
  </si>
  <si>
    <t>622471318VD1</t>
  </si>
  <si>
    <t>622471931R00</t>
  </si>
  <si>
    <t>622904115R00</t>
  </si>
  <si>
    <t>629991001VD</t>
  </si>
  <si>
    <t>629991002VD</t>
  </si>
  <si>
    <t>999281211R00</t>
  </si>
  <si>
    <t>711</t>
  </si>
  <si>
    <t>711132311R00</t>
  </si>
  <si>
    <t>28323115</t>
  </si>
  <si>
    <t>711823129R00</t>
  </si>
  <si>
    <t>283424VD1</t>
  </si>
  <si>
    <t>711191272R00</t>
  </si>
  <si>
    <t>693661VD</t>
  </si>
  <si>
    <t>998711101R00</t>
  </si>
  <si>
    <t>764</t>
  </si>
  <si>
    <t>764454802VD1</t>
  </si>
  <si>
    <t>764454291VD1</t>
  </si>
  <si>
    <t>764421850R00</t>
  </si>
  <si>
    <t>76999VD1</t>
  </si>
  <si>
    <t>764521650VD1</t>
  </si>
  <si>
    <t>764410850R00</t>
  </si>
  <si>
    <t>764511616VD1</t>
  </si>
  <si>
    <t>998764201R00</t>
  </si>
  <si>
    <t>782</t>
  </si>
  <si>
    <t>772-001</t>
  </si>
  <si>
    <t>772-002</t>
  </si>
  <si>
    <t>772-003</t>
  </si>
  <si>
    <t>772-004</t>
  </si>
  <si>
    <t>782631324R00</t>
  </si>
  <si>
    <t>58382VD1</t>
  </si>
  <si>
    <t>782131150R00</t>
  </si>
  <si>
    <t>58382VD2</t>
  </si>
  <si>
    <t>782331150VD1</t>
  </si>
  <si>
    <t>58382VD3</t>
  </si>
  <si>
    <t>782-001</t>
  </si>
  <si>
    <t>782-002</t>
  </si>
  <si>
    <t>998782101R00</t>
  </si>
  <si>
    <t>96</t>
  </si>
  <si>
    <t>967031732R00</t>
  </si>
  <si>
    <t>978015291R00</t>
  </si>
  <si>
    <t>978023411R00</t>
  </si>
  <si>
    <t>963023712R00</t>
  </si>
  <si>
    <t>979082111R00</t>
  </si>
  <si>
    <t>979081111R00</t>
  </si>
  <si>
    <t>979081121R00</t>
  </si>
  <si>
    <t>979990001R00</t>
  </si>
  <si>
    <t>M21</t>
  </si>
  <si>
    <t>210220361VD1</t>
  </si>
  <si>
    <t>VRN</t>
  </si>
  <si>
    <t>VRN01</t>
  </si>
  <si>
    <t>VRN02</t>
  </si>
  <si>
    <t>622904112VD2</t>
  </si>
  <si>
    <t>622323041VD1</t>
  </si>
  <si>
    <t>620401161VD1</t>
  </si>
  <si>
    <t>OPRAVA SOKLU DIVADLA - BUDOVA Č.P. 911, KRNOV</t>
  </si>
  <si>
    <t>městské divadlo</t>
  </si>
  <si>
    <t>Mikulášská 911/12, 794 01 Krnov</t>
  </si>
  <si>
    <t>Zkrácený popis</t>
  </si>
  <si>
    <t>Rozměry</t>
  </si>
  <si>
    <t>Sokl budovy divadla</t>
  </si>
  <si>
    <t>Hloubené vykopávky</t>
  </si>
  <si>
    <t>Hloubení nezapaž. rýh šířky do 60 cm v hornině 1-4</t>
  </si>
  <si>
    <t>(4,15+3,55+12,02+3,80+4,35+11,18+1,65)*2*0,5*0,28</t>
  </si>
  <si>
    <t>Příplatek za lepivost - hloubení nezap.jam v hor.3</t>
  </si>
  <si>
    <t>Vodorovné přemístění výkopku z hor.1-4 do 10000 m</t>
  </si>
  <si>
    <t>Poplatek za skládku horniny 1- 4</t>
  </si>
  <si>
    <t>Úprava podloží a základové spáry</t>
  </si>
  <si>
    <t>D+M Drenáž podél objektu;vč. beton.lože C16/20,dren.flex. PVC trubky DN100,obsyp kamenivem, oblal. kam. geotextilií, napoj. a dod. 6ks šachta DN315</t>
  </si>
  <si>
    <t>(4,15+3,55+12,02+3,80+4,35+11,18+1,65)*2*1,2</t>
  </si>
  <si>
    <t>D+M Zřízení filtračního obalu dren.trubek DN do 130 mm - obalení dren trubky DN100 geotextílií</t>
  </si>
  <si>
    <t>Výplň odvodňov. trativodů kam. hrubě drcen. 63 mm - doplnění výkopu pro drenážní potrubí</t>
  </si>
  <si>
    <t>(4,15+3,55+12,02+3,80+4,35+11,18+1,65)*2*1,2*0,5*0,08   doplnění kameniva pod skladbou chodníku</t>
  </si>
  <si>
    <t>Montáž trubek z tvrdého PVC  d 110 mm, napojení drenáže na dešťové svody</t>
  </si>
  <si>
    <t>Potrubí KG svodné (ležaté) v zemi D 110 x 3,2 mm</t>
  </si>
  <si>
    <t>Zdi podpěrné a volné</t>
  </si>
  <si>
    <t>Vyrovnání povrchu zdiva přizděním do tl. 15 cm</t>
  </si>
  <si>
    <t>90,67*0,1   10% pol. č. 967031732R00</t>
  </si>
  <si>
    <t>Vyrovnání zdiva pod omítku maltou ze SMS tl. 30 mm</t>
  </si>
  <si>
    <t>47,27*0,2   20% pol. č. 602011126VD1</t>
  </si>
  <si>
    <t>Kryty pozemních komunikací, letišť a ploch dlážděných (předlažby)</t>
  </si>
  <si>
    <t>Rozebrání dlažeb z betonových dlaždic na sucho</t>
  </si>
  <si>
    <t>(4,15+3,55+12,02+3,80+4,35+11,18+1,65)*2*0,9   š. 900 mm</t>
  </si>
  <si>
    <t>Očištění vybour. dlaždic s výplní kamen. těženým</t>
  </si>
  <si>
    <t>Odstranění podkladu pl. 50 m2,kam.těžené tl.5 cm</t>
  </si>
  <si>
    <t>Odstranění podkladu pl. 50 m2,kam.těžené tl.15 cm</t>
  </si>
  <si>
    <t>Kladení dlaždic kom.pro pěší, lože z kameniva těž. tl. 30 mm, vč. dodání hmot pro lože a materiálu pro výplň spár</t>
  </si>
  <si>
    <t>Podklad ze štěrkopísku po zhutnění tloušťky 15 cm</t>
  </si>
  <si>
    <t>DOD Dlažba betonová vymývaná typ dle stávají dlažby - doplnění poškozených částí</t>
  </si>
  <si>
    <t>((4,15+3,55+12,02+3,80+4,35+11,18+1,65)*2*0,9)*0,2   20%</t>
  </si>
  <si>
    <t>Přesun hmot, pozemní komunikace, kryt dlážděný</t>
  </si>
  <si>
    <t>Úprava povrchů vnější</t>
  </si>
  <si>
    <t>Montáž okapního soklového profilu</t>
  </si>
  <si>
    <t>(0,6*2+0,77+0,58+0,87+12,02+0,39+0,51*2+0,75+2,44+2,17*4+1,57+2,65+0,75+0,37+1,18*2+0,55+0,87)*2   stěny a ostění</t>
  </si>
  <si>
    <t>(1,45+1,65+1,42+2,33+0,86*3)*2   pilíře</t>
  </si>
  <si>
    <t>Dodávka "U" profil Al ukončovací se zobáčkem š. 25 mm</t>
  </si>
  <si>
    <t>;ztratné 15%; 14,181</t>
  </si>
  <si>
    <t>Omítka vněj.stěn jádr.sušících ručně, tl.20mm, suchá malt. směs na bázi hydraul.pojiv,kvarcit.písku, brání zasolení zd.,pro obj. v památkové péči</t>
  </si>
  <si>
    <t>(0,6*2+0,77+0,58+0,87+12,02+0,39+0,51*2+0,75+2,44+2,17*4+1,57+2,65+0,75+0,37+1,18*2+0,55+0,87)*2*0,5   stěny a ostění, v. 500 mm</t>
  </si>
  <si>
    <t>(1,45+1,65+1,42+2,33+0,86*3)*2*0,5   pilíře, v. 500 mm</t>
  </si>
  <si>
    <t>Štuk vněj.stěn sušící tl. 5 mm, ručně, složitost III,suchá malt. směs na bázi hydraul.pojiv,kvarcit.písku,brání zasolení zd.,pro obj. v památkové péči</t>
  </si>
  <si>
    <t>Příplatek za pracnost, celková pl. otvorů do 35%</t>
  </si>
  <si>
    <t>Nátěr stěn vnějších silikátový, složitost 3 - 4, penetrace + 2 x nátěr</t>
  </si>
  <si>
    <t>(0,6*2+0,77+0,58+0,87+12,02+0,39+0,51*2+0,75+2,44+2,17*4+1,57+2,65+0,75+0,37+1,18*2+0,55+0,87)*2*1,0   stěny a ostění, v. 1000 mm</t>
  </si>
  <si>
    <t>(1,45+1,65+1,42+2,33+0,86*3)*2*1,0   pilíře, v. 1000 mm</t>
  </si>
  <si>
    <t>Příplatek za vícebarevné provádění</t>
  </si>
  <si>
    <t>Očištění fasád tlakovou vodou složitost 3 - 5</t>
  </si>
  <si>
    <t>Zakrytí výplní otvorů a svislých ploch fólií přilepenou lepící páskou</t>
  </si>
  <si>
    <t>1,65*2*2+0,6*0,5*6+1,65*0,9*8+1,7*2,1*2+(2,68+2,86+1,73)*2*2+(1,75*2+1,74)*2,2</t>
  </si>
  <si>
    <t>Provedení vzorků barevného provedení  fasádního nátěru 500x500, varianty dle stávající barevnosti fasád</t>
  </si>
  <si>
    <t>0,5*0,5*6</t>
  </si>
  <si>
    <t>Přesun hmot, opravy vněj. plášťů výšky do 25 m</t>
  </si>
  <si>
    <t>1,2908+1,5154</t>
  </si>
  <si>
    <t>Izolace proti vodě</t>
  </si>
  <si>
    <t>Prov. izolace nopovou fólií svisle, vč.komponentů pro uchycení a těsnění</t>
  </si>
  <si>
    <t>(1,31+1,81+1,33+2,34+0,78*3+1,57)*0,8   pilíře levá strana</t>
  </si>
  <si>
    <t>(1,57+0,78*3+2,34+1,33+1,81+1,31)*0,8   pilíře pravá strana</t>
  </si>
  <si>
    <t>(0,7*2+0,58*2+0,87+1,16+0,58*2+8+0,39+(0,51+0,18)*2+0,76+2,44+2,17*4+0,76)*0,8   stěny levá strana</t>
  </si>
  <si>
    <t>(0,76+2,17*4+2,44+0,76+(0,51+0,18)*2+0,39+8+0,58*2+1,16+0,87+0,58*2+0,7*2)*0,8   stěny pravá strana</t>
  </si>
  <si>
    <t>Dodávka fólie nopové v. 8 mm, tl. 0,6 mm š. 1000 mm</t>
  </si>
  <si>
    <t>;ztratné 10%; 6,218</t>
  </si>
  <si>
    <t>Montáž ukončovací lišty k nopové fólii</t>
  </si>
  <si>
    <t>(1,31+1,81+1,33+2,34+0,78*3+1,57)   pilíře levá strana</t>
  </si>
  <si>
    <t>(1,57+0,78*3+2,34+1,33+1,81+1,31)   pilíře pravá strana</t>
  </si>
  <si>
    <t>(0,7*2+0,58*2+0,87+1,16+0,58*2+8+0,39+(0,51+0,18)*2+0,76+2,44+2,17*4+0,76)   stěny levá strana</t>
  </si>
  <si>
    <t>(0,76+2,17*4+2,44+0,76+(0,51+0,18)*2+0,39+8+0,58*2+1,16+0,87+0,58*2+0,7*2)   stěny pravá strana</t>
  </si>
  <si>
    <t>Lišta ukončovací pro nopovou fólii v. 8 mm, bez větracích otvorů černá dl. 2 m</t>
  </si>
  <si>
    <t>(1,31+1,81+1,33+2,34+0,78*3+1,57)/2   pilíře levá strana</t>
  </si>
  <si>
    <t>(1,57+0,78*3+2,34+1,33+1,81+1,31)/2   pilíře pravá strana</t>
  </si>
  <si>
    <t>(0,7*2+0,58*2+0,87+1,16+0,58*2+8+0,39+(0,51+0,18)*2+0,76+2,44+2,17*4+0,76)/2   stěny levá strana</t>
  </si>
  <si>
    <t>(0,76+2,17*4+2,44+0,76+(0,51+0,18)*2+0,39+8+0,58*2+1,16+0,87+0,58*2+0,7*2)/2   stěny pravá strana</t>
  </si>
  <si>
    <t>;ztratné 10%; 3,886</t>
  </si>
  <si>
    <t>Izolace proti zem.vlhkosti,ochran.textilie,svislá</t>
  </si>
  <si>
    <t>Dodávka geotextilie 300 g/m2 š. 200cm 100% PP</t>
  </si>
  <si>
    <t>Přesun hmot pro izolace proti vodě, výšky do 6 m</t>
  </si>
  <si>
    <t>Konstrukce klempířské</t>
  </si>
  <si>
    <t>Demontáž odpadních trub kruhových,do DN 120 mm, vč uskladnění pro zpětné osazení</t>
  </si>
  <si>
    <t>6*1,5</t>
  </si>
  <si>
    <t>Zpětná montáž trub Pz odpadních kruhových do DN 120, vč. kotvení</t>
  </si>
  <si>
    <t>Demontáž oplechování říms,rš od 250 do 330 mm</t>
  </si>
  <si>
    <t>2,6*2</t>
  </si>
  <si>
    <t>Provizorní napojení dešťových svodů, vč. trubka PVC flexibilní neperforovaná d 100 mm</t>
  </si>
  <si>
    <t>Oplechování říms zinkovaným potahovaným plechem, barva hnědá, rš. 330 mm</t>
  </si>
  <si>
    <t>Demontáž oplechování parapetů,rš od 100 do 330 mm</t>
  </si>
  <si>
    <t>1,65*2</t>
  </si>
  <si>
    <t>Oplechování parapetů zinkovaným potahovaným plechem, barva hnědá, rš. 160 mm</t>
  </si>
  <si>
    <t>Přesun hmot pro klempířské konstr., výšky do 6 m, procentem 1,85%</t>
  </si>
  <si>
    <t>Obklady z přírodního a konglomerovaného kamene</t>
  </si>
  <si>
    <t>Rozebrání kamenných schodišťových stupňů vč. označení a uložení</t>
  </si>
  <si>
    <t>2,1+2,68+3,3+2,86*2+3*1,0+2,36+4,61+3,57+2,65+3*1,0+2,86*2+2,68+2,04</t>
  </si>
  <si>
    <t>Zpětné osazení kamenných schodišťových stupňů</t>
  </si>
  <si>
    <t>Očištění kamenných prvků schodiště mechanicky a následně tlakovou vodou, stupnice vč. podstupnice</t>
  </si>
  <si>
    <t>(14,39+13,43+12,47+11,51+10,55+9,59)*(0,15+0,3)+8,62*(0,15+0,15)+1,75*1,18*2+1,74*0,55   hlavní schodiště</t>
  </si>
  <si>
    <t>2,1*0,41+(2,68+2,36)*0,58+(2,86*2+3,26+8,17+8,43+8,69)*(0,15+0,3)   levá část</t>
  </si>
  <si>
    <t>2,04*0,41+2,68*0,58+(2,86*2+8,17+8,48+8,69+4,61+3,56+2,65)*(0,15+0,3)   pravá část</t>
  </si>
  <si>
    <t>Očištění travertinového obkladu hlavního vstupu mechanicky a následně tlakovou vodou</t>
  </si>
  <si>
    <t>1,74*2,3</t>
  </si>
  <si>
    <t>Montáž obkladu parapetů kamenem tvrdým tl. 4 cm</t>
  </si>
  <si>
    <t>2,4*0,23*2</t>
  </si>
  <si>
    <t>Deska parapetní, žula tryskaná tl.4 cm, zkosená horní hrana</t>
  </si>
  <si>
    <t>Montáž atyp. obkladu stěn kamenem tvrdým, rovným tl. 4 cm</t>
  </si>
  <si>
    <t>0,7*0,86*2+0,58*0,85*2+(0,87+1,16)*0,95+0,58*0,95+0,58*0,8+(8+0,39)*1,15+(0,51+0,18)*1,15*2   stěny levá strana</t>
  </si>
  <si>
    <t>0,75*1,08+2,44*1,13+2,17*1,14*4+0,76*1,13+1,89*0,9*0,5</t>
  </si>
  <si>
    <t>(0,75+0,37+1,18*2+0,36+0,55+0,87)*0,17*2   stěny vstupu</t>
  </si>
  <si>
    <t>1,89*1,02*0,5+0,76*1,19+2,17*1,31*4+2,44*1,31+0,76*1,31+(0,51+0,18)*1,08*2+(0,39+8)*1,17   stěny pravá strana</t>
  </si>
  <si>
    <t>0,52*0,83*2+(1,16+0,87)*0,91+0,58*0,87*2+0,7*2*0,87</t>
  </si>
  <si>
    <t>Deska obkladová, žula tryskaná tl.4 cm, zkosená horní hrana, okraje s šanýry v mělkém negativním reliéfu</t>
  </si>
  <si>
    <t>;ztratné 5%; 3,3505</t>
  </si>
  <si>
    <t>Montáž atyp. obklad pilířů kamenem tvrdým, svislé, tl.4 cm, sesazovaná z dílů na sraz</t>
  </si>
  <si>
    <t>1,31*0,86+1,81*0,85+1,33*1,08+2,34*1,13+0,78*1,14*3+1,57*1,14   pilíře levá strana</t>
  </si>
  <si>
    <t>1,57*1,19+0,78*1,31*3+2,34*1,31+1,33*1,31+1,81*0,87+1,31*0,87   pilíře pravá strana</t>
  </si>
  <si>
    <t>Deska obkladová, žula tryskaná tl.4 cm, zkosená horní hrana, okraje s šanýry v mělkém negativním reliéfu, sesazovaná z dílů na sraz</t>
  </si>
  <si>
    <t>;ztratné 5%; 1,183</t>
  </si>
  <si>
    <t>Kamenické opracování desek obkladových: kalibrace dle spárožezu, zkosení okraje, šanýry v mělkém negativním reliéfu</t>
  </si>
  <si>
    <t>(0,7*2+0,58*2+0,87+1,16+0,58*2+8+0,39+0,51*2+0,18*2+0,75+2,44+2,17*4+0,76+1,89)*2+(0,85+1,14)/2*64   stěny levá strana</t>
  </si>
  <si>
    <t>(0,75+0,37+1,18*2+0,36+0,55+0,87)*2+0,17*40   stěny vstupu</t>
  </si>
  <si>
    <t>(1,89+0,76+2,17*4+2,44+0,76+0,51*2+0,18*2+0,39+8+0,52*2+1,16+0,87+0,58*2+0,7*2)*2+(1,19*0,87)/2*64   stěny pravá strana</t>
  </si>
  <si>
    <t>(1,31+1,81+1,33+2,34+0,78*3+1,57)*2+(0,85+1,14)/2*126   pilíře levá strana</t>
  </si>
  <si>
    <t>(1,57+0,78*3+2,34+1,331+1,81+1,31)*2+(1,19+0,87)/2*126   pilíře pravá strana</t>
  </si>
  <si>
    <t>D+M systémových nerezových kotev pro zavěšení kamenného obkladu</t>
  </si>
  <si>
    <t>Přesun hmot pro obklady z kamene, výšky do 6 m</t>
  </si>
  <si>
    <t>Bourání konstrukcí</t>
  </si>
  <si>
    <t>Přisekání plošné zdiva cihelného na MVC tl. 10 cm</t>
  </si>
  <si>
    <t>Otlučení omítek vnějších MVC v složit.1-4 do 100 %</t>
  </si>
  <si>
    <t>Vysekání a úprava spár zdiva cihelného mimo komín.</t>
  </si>
  <si>
    <t>Vybourání schod.stupňů ze zdi cihelné oboustranně</t>
  </si>
  <si>
    <t>Vnitrostaveništní doprava suti do 10 m</t>
  </si>
  <si>
    <t>Odvoz suti a vybour. hmot na skládku do 1 km</t>
  </si>
  <si>
    <t>Příplatek k odvozu za každý další 1 km</t>
  </si>
  <si>
    <t>21,61*9   zbývajících 9 km</t>
  </si>
  <si>
    <t>Poplatek za skládku stavební suti</t>
  </si>
  <si>
    <t>Elektromontáže</t>
  </si>
  <si>
    <t>Demontáž a zpětná montáž zemniče tyčového, vč. uskladnění a výměny svorek, do 2 m</t>
  </si>
  <si>
    <t>Vedlejší rozpočtové náklady</t>
  </si>
  <si>
    <t>Dočasný zábor chodníku - vyřízení + poplatek</t>
  </si>
  <si>
    <t>Zařízení staveniště,kompl. zřízení a likvidaci připojení ZS na sítě(el.rozvaděč,zdroj vody,vytápění),oplocení,sklad.,ohrazení výkopů,prov. mostky</t>
  </si>
  <si>
    <t>Zídky bočních vstupů</t>
  </si>
  <si>
    <t>Očištění kamenných zákrytových desek zídky mechanicky a následně tlakovou vodou</t>
  </si>
  <si>
    <t>(10,9*0,78+1,1*1,1+(10,9+1,1*3+10,5)*(0,08+0,07))*2</t>
  </si>
  <si>
    <t>40,34*0,2   20% pol. č. 602011126VD1</t>
  </si>
  <si>
    <t>(10,9+10,5+0,96*3+0,32)*0,82*2   stěny zídek</t>
  </si>
  <si>
    <t>(10,9+0,96*3+0,32)*(0,3+0,07)   základ levé zídky</t>
  </si>
  <si>
    <t>(10,9+0,96*3+0,32)*(0,35+0,07)   základ pravé zídky</t>
  </si>
  <si>
    <t>Penetrace podkladu pod malby silikátové</t>
  </si>
  <si>
    <t>Nátěr hydrofobizační  kamenných zákrytových prvků zídek 1x</t>
  </si>
  <si>
    <t>3*1,0*2</t>
  </si>
  <si>
    <t>Zpětné osazení kamenných schodišťových stupňů vč. kotvení nerez, trny</t>
  </si>
  <si>
    <t>Otlučení omítek vnějších MVC v složit.1-4 do 100 % s vyškrabáním spár, s očištěním zdiva.</t>
  </si>
  <si>
    <t>2,921*9   zbývajících 9 km</t>
  </si>
  <si>
    <t>Zpracováno dne:</t>
  </si>
  <si>
    <t>M.j.</t>
  </si>
  <si>
    <t>m3</t>
  </si>
  <si>
    <t>m</t>
  </si>
  <si>
    <t>m2</t>
  </si>
  <si>
    <t>t</t>
  </si>
  <si>
    <t>kus</t>
  </si>
  <si>
    <t>%</t>
  </si>
  <si>
    <t>soubor</t>
  </si>
  <si>
    <t>Množství</t>
  </si>
  <si>
    <t> </t>
  </si>
  <si>
    <t>Jednot.</t>
  </si>
  <si>
    <t>cena 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</si>
  <si>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</si>
  <si>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</si>
  <si>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</si>
  <si>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</si>
  <si>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</si>
  <si>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</si>
  <si>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</si>
  <si>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Montáž</t>
  </si>
  <si>
    <t>Celkem</t>
  </si>
  <si>
    <t>Hmotnost (t)</t>
  </si>
  <si>
    <t>Cenová</t>
  </si>
  <si>
    <t>soustava</t>
  </si>
  <si>
    <t>RTS II / 2018</t>
  </si>
  <si>
    <t>vlastní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</si>
  <si>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</si>
  <si>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</si>
  <si>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</si>
  <si>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</si>
  <si>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</si>
  <si>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</si>
  <si>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</si>
  <si>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</si>
  <si>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</si>
  <si>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</si>
  <si>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21_</t>
  </si>
  <si>
    <t>31_</t>
  </si>
  <si>
    <t>59_</t>
  </si>
  <si>
    <t>62_</t>
  </si>
  <si>
    <t>711_</t>
  </si>
  <si>
    <t>764_</t>
  </si>
  <si>
    <t>782_</t>
  </si>
  <si>
    <t>96_</t>
  </si>
  <si>
    <t>M21_</t>
  </si>
  <si>
    <t>VRN_</t>
  </si>
  <si>
    <t>SO.01_1_</t>
  </si>
  <si>
    <t>SO.01_2_</t>
  </si>
  <si>
    <t>SO.01_3_</t>
  </si>
  <si>
    <t>SO.01_5_</t>
  </si>
  <si>
    <t>SO.01_6_</t>
  </si>
  <si>
    <t>SO.01_71_</t>
  </si>
  <si>
    <t>SO.01_76_</t>
  </si>
  <si>
    <t>SO.01_78_</t>
  </si>
  <si>
    <t>SO.01_9_</t>
  </si>
  <si>
    <t>SO.02_6_</t>
  </si>
  <si>
    <t>SO.02_78_</t>
  </si>
  <si>
    <t>SO.02_9_</t>
  </si>
  <si>
    <t>SO.01_</t>
  </si>
  <si>
    <t>SO.02_</t>
  </si>
  <si>
    <t>MAT</t>
  </si>
  <si>
    <t>WORK</t>
  </si>
  <si>
    <t>CELK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</si>
  <si>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</si>
  <si>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</si>
  <si>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</si>
  <si>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</si>
  <si>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</si>
  <si>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</si>
  <si>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</si>
  <si>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</si>
  <si>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Základ 21%</t>
  </si>
  <si>
    <t>Projektant</t>
  </si>
  <si>
    <t>Datum, razítko a podpis</t>
  </si>
  <si>
    <t>DPH 21%</t>
  </si>
  <si>
    <t>Objednatel</t>
  </si>
  <si>
    <t>Celkem bez DPH</t>
  </si>
  <si>
    <t>Celkem včetně DPH</t>
  </si>
  <si>
    <t>Zhotovitel</t>
  </si>
  <si>
    <t>Položek:</t>
  </si>
  <si>
    <t>Datum:</t>
  </si>
  <si>
    <t>Stavební rozpočet - Krycí list</t>
  </si>
  <si>
    <t>Město Krnov, Hlavní náměstí 96/1,                                     Pod Bezručovým vrchem,79401 Krnov</t>
  </si>
  <si>
    <t>Cenová soustava:</t>
  </si>
  <si>
    <t>8012 - Budovy občanské</t>
  </si>
  <si>
    <t>ZRN</t>
  </si>
  <si>
    <t>ZÁKLADNÍ ROZPOČTOVÉ NÁKLADY</t>
  </si>
  <si>
    <t>VEDLEJŠÍ A OSTATNÍ ROZPOČTOVÉ NÁKLADY</t>
  </si>
  <si>
    <t>Město Krnov, Hlavní náměstí 96/1,                                                      Pod Bezručovým vrchem, 794 01 Krnov</t>
  </si>
  <si>
    <t>Ing. arch. Petr Doležal, Slovanská 275/16, 787 01 Šumperk</t>
  </si>
  <si>
    <t xml:space="preserve">JKSO: </t>
  </si>
  <si>
    <t>Ing. arch. Petr Doležal,                Slovanská 275/16, 787 01 Šumperk</t>
  </si>
  <si>
    <t>Město Krnov, Hlavní náměstí 96/1,                                                                        Pod Bezručovým vrchem, 794 01 Krnov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</si>
</sst>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3" fillId="0" borderId="29" xfId="0" applyNumberFormat="1" applyFont="1" applyFill="1" applyBorder="1" applyAlignment="1" applyProtection="1">
      <alignment horizontal="right" vertical="center"/>
      <protection/>
    </xf>
    <xf numFmtId="4" fontId="13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3" fillId="35" borderId="32" xfId="0" applyNumberFormat="1" applyFont="1" applyFill="1" applyBorder="1" applyAlignment="1" applyProtection="1">
      <alignment horizontal="right" vertical="center"/>
      <protection/>
    </xf>
    <xf numFmtId="4" fontId="13" fillId="35" borderId="33" xfId="0" applyNumberFormat="1" applyFont="1" applyFill="1" applyBorder="1" applyAlignment="1" applyProtection="1">
      <alignment horizontal="right" vertical="center"/>
      <protection/>
    </xf>
    <xf numFmtId="4" fontId="13" fillId="35" borderId="3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36" borderId="0" xfId="0" applyNumberFormat="1" applyFont="1" applyFill="1" applyBorder="1" applyAlignment="1" applyProtection="1">
      <alignment horizontal="left" vertical="center"/>
      <protection/>
    </xf>
    <xf numFmtId="4" fontId="3" fillId="36" borderId="0" xfId="0" applyNumberFormat="1" applyFont="1" applyFill="1" applyBorder="1" applyAlignment="1" applyProtection="1">
      <alignment horizontal="right" vertical="center"/>
      <protection/>
    </xf>
    <xf numFmtId="0" fontId="3" fillId="36" borderId="37" xfId="0" applyFont="1" applyFill="1" applyBorder="1" applyAlignment="1">
      <alignment vertical="center"/>
    </xf>
    <xf numFmtId="0" fontId="3" fillId="36" borderId="38" xfId="0" applyFont="1" applyFill="1" applyBorder="1" applyAlignment="1">
      <alignment vertical="center"/>
    </xf>
    <xf numFmtId="49" fontId="3" fillId="36" borderId="38" xfId="0" applyNumberFormat="1" applyFont="1" applyFill="1" applyBorder="1" applyAlignment="1" applyProtection="1">
      <alignment horizontal="left" vertical="center"/>
      <protection/>
    </xf>
    <xf numFmtId="4" fontId="3" fillId="36" borderId="38" xfId="0" applyNumberFormat="1" applyFont="1" applyFill="1" applyBorder="1" applyAlignment="1" applyProtection="1">
      <alignment horizontal="right" vertical="center"/>
      <protection/>
    </xf>
    <xf numFmtId="0" fontId="3" fillId="36" borderId="39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31" xfId="0" applyNumberFormat="1" applyFont="1" applyFill="1" applyBorder="1" applyAlignment="1" applyProtection="1">
      <alignment horizontal="left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40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4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2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31" xfId="0" applyNumberFormat="1" applyFont="1" applyFill="1" applyBorder="1" applyAlignment="1" applyProtection="1">
      <alignment horizontal="left" vertical="center" wrapText="1"/>
      <protection/>
    </xf>
    <xf numFmtId="49" fontId="12" fillId="0" borderId="37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 applyProtection="1">
      <alignment horizontal="center" vertical="center"/>
      <protection/>
    </xf>
    <xf numFmtId="49" fontId="12" fillId="0" borderId="39" xfId="0" applyNumberFormat="1" applyFont="1" applyFill="1" applyBorder="1" applyAlignment="1" applyProtection="1">
      <alignment horizontal="center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36" xfId="0" applyNumberFormat="1" applyFont="1" applyFill="1" applyBorder="1" applyAlignment="1" applyProtection="1">
      <alignment horizontal="center" vertical="center"/>
      <protection/>
    </xf>
    <xf numFmtId="49" fontId="13" fillId="35" borderId="42" xfId="0" applyNumberFormat="1" applyFont="1" applyFill="1" applyBorder="1" applyAlignment="1" applyProtection="1">
      <alignment horizontal="left" vertical="center"/>
      <protection/>
    </xf>
    <xf numFmtId="49" fontId="13" fillId="35" borderId="41" xfId="0" applyNumberFormat="1" applyFont="1" applyFill="1" applyBorder="1" applyAlignment="1" applyProtection="1">
      <alignment horizontal="left" vertical="center"/>
      <protection/>
    </xf>
    <xf numFmtId="49" fontId="13" fillId="35" borderId="43" xfId="0" applyNumberFormat="1" applyFont="1" applyFill="1" applyBorder="1" applyAlignment="1" applyProtection="1">
      <alignment horizontal="left" vertical="center"/>
      <protection/>
    </xf>
    <xf numFmtId="49" fontId="13" fillId="35" borderId="44" xfId="0" applyNumberFormat="1" applyFont="1" applyFill="1" applyBorder="1" applyAlignment="1" applyProtection="1">
      <alignment horizontal="left" vertical="center"/>
      <protection/>
    </xf>
    <xf numFmtId="49" fontId="13" fillId="0" borderId="45" xfId="0" applyNumberFormat="1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Fill="1" applyBorder="1" applyAlignment="1" applyProtection="1">
      <alignment horizontal="center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/>
      <protection/>
    </xf>
    <xf numFmtId="49" fontId="13" fillId="35" borderId="47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31" xfId="0" applyNumberFormat="1" applyFont="1" applyFill="1" applyBorder="1" applyAlignment="1" applyProtection="1">
      <alignment horizontal="left" vertical="center"/>
      <protection/>
    </xf>
    <xf numFmtId="14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8" fontId="1" fillId="0" borderId="14" xfId="0" applyNumberFormat="1" applyFont="1" applyFill="1" applyBorder="1" applyAlignment="1" applyProtection="1">
      <alignment horizontal="left" vertical="center" wrapText="1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nov%20Divadlo%2020190322_ocen&#283;n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_"/>
      <sheetName val="Stavební rozpočet - součet"/>
      <sheetName val="Stavební rozpočet"/>
    </sheetNames>
    <sheetDataSet>
      <sheetData sheetId="2">
        <row r="2">
          <cell r="D2" t="str">
            <v>OPRAVA SOKLU DIVADLA - BUDOVA Č.P. 911, KRNOV</v>
          </cell>
        </row>
        <row r="4">
          <cell r="D4" t="str">
            <v>městské divadlo</v>
          </cell>
        </row>
        <row r="6">
          <cell r="D6" t="str">
            <v>Mikulášská 911/12, 794 01 Krnov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F46" sqref="F46"/>
    </sheetView>
  </sheetViews>
  <sheetFormatPr defaultColWidth="11.57421875" defaultRowHeight="12.75"/>
  <cols>
    <col min="1" max="2" width="11.57421875" style="0" customWidth="1"/>
    <col min="3" max="3" width="23.00390625" style="0" customWidth="1"/>
    <col min="4" max="4" width="10.57421875" style="0" customWidth="1"/>
    <col min="5" max="5" width="11.57421875" style="0" customWidth="1"/>
    <col min="6" max="6" width="23.00390625" style="0" customWidth="1"/>
    <col min="7" max="7" width="11.57421875" style="0" customWidth="1"/>
    <col min="8" max="8" width="12.7109375" style="0" customWidth="1"/>
    <col min="9" max="9" width="22.8515625" style="0" customWidth="1"/>
  </cols>
  <sheetData>
    <row r="1" spans="1:9" ht="71.25" customHeight="1" thickBot="1">
      <c r="A1" s="79" t="s">
        <v>412</v>
      </c>
      <c r="B1" s="79"/>
      <c r="C1" s="79"/>
      <c r="D1" s="79"/>
      <c r="E1" s="79"/>
      <c r="F1" s="79"/>
      <c r="G1" s="79"/>
      <c r="H1" s="79"/>
      <c r="I1" s="79"/>
    </row>
    <row r="2" spans="1:9" ht="12.75">
      <c r="A2" s="112" t="s">
        <v>1</v>
      </c>
      <c r="B2" s="113"/>
      <c r="C2" s="80" t="str">
        <f>'[1]Stavební rozpočet'!D2:D3</f>
        <v>OPRAVA SOKLU DIVADLA - BUDOVA Č.P. 911, KRNOV</v>
      </c>
      <c r="D2" s="80"/>
      <c r="E2" s="80"/>
      <c r="F2" s="80"/>
      <c r="G2" s="80"/>
      <c r="H2" s="80"/>
      <c r="I2" s="81"/>
    </row>
    <row r="3" spans="1:9" ht="12.75">
      <c r="A3" s="92"/>
      <c r="B3" s="93"/>
      <c r="C3" s="82"/>
      <c r="D3" s="82"/>
      <c r="E3" s="82"/>
      <c r="F3" s="82"/>
      <c r="G3" s="82"/>
      <c r="H3" s="82"/>
      <c r="I3" s="83"/>
    </row>
    <row r="4" spans="1:9" ht="12.75">
      <c r="A4" s="92" t="s">
        <v>2</v>
      </c>
      <c r="B4" s="93"/>
      <c r="C4" s="93" t="str">
        <f>'[1]Stavební rozpočet'!D4:D5</f>
        <v>městské divadlo</v>
      </c>
      <c r="D4" s="93"/>
      <c r="E4" s="93" t="s">
        <v>343</v>
      </c>
      <c r="F4" s="93" t="s">
        <v>413</v>
      </c>
      <c r="G4" s="93"/>
      <c r="H4" s="93" t="s">
        <v>414</v>
      </c>
      <c r="I4" s="107" t="s">
        <v>355</v>
      </c>
    </row>
    <row r="5" spans="1:9" ht="12.75">
      <c r="A5" s="92"/>
      <c r="B5" s="93"/>
      <c r="C5" s="93"/>
      <c r="D5" s="93"/>
      <c r="E5" s="93"/>
      <c r="F5" s="93"/>
      <c r="G5" s="93"/>
      <c r="H5" s="93"/>
      <c r="I5" s="107"/>
    </row>
    <row r="6" spans="1:9" ht="12.75">
      <c r="A6" s="92" t="s">
        <v>3</v>
      </c>
      <c r="B6" s="93"/>
      <c r="C6" s="93" t="str">
        <f>'[1]Stavební rozpočet'!D6:D7</f>
        <v>Mikulášská 911/12, 794 01 Krnov</v>
      </c>
      <c r="D6" s="93"/>
      <c r="E6" s="93" t="s">
        <v>344</v>
      </c>
      <c r="F6" s="93" t="s">
        <v>422</v>
      </c>
      <c r="G6" s="93"/>
      <c r="H6" s="108" t="s">
        <v>410</v>
      </c>
      <c r="I6" s="107" t="s">
        <v>92</v>
      </c>
    </row>
    <row r="7" spans="1:9" ht="12.75">
      <c r="A7" s="92"/>
      <c r="B7" s="93"/>
      <c r="C7" s="93"/>
      <c r="D7" s="93"/>
      <c r="E7" s="93"/>
      <c r="F7" s="93"/>
      <c r="G7" s="93"/>
      <c r="H7" s="108"/>
      <c r="I7" s="107"/>
    </row>
    <row r="8" spans="1:9" ht="12.75">
      <c r="A8" s="92" t="s">
        <v>4</v>
      </c>
      <c r="B8" s="93"/>
      <c r="C8" s="93" t="s">
        <v>415</v>
      </c>
      <c r="D8" s="93"/>
      <c r="E8" s="93" t="s">
        <v>346</v>
      </c>
      <c r="F8" s="93"/>
      <c r="G8" s="93"/>
      <c r="H8" s="108" t="s">
        <v>411</v>
      </c>
      <c r="I8" s="110"/>
    </row>
    <row r="9" spans="1:9" ht="13.5" thickBot="1">
      <c r="A9" s="94"/>
      <c r="B9" s="95"/>
      <c r="C9" s="95"/>
      <c r="D9" s="95"/>
      <c r="E9" s="95"/>
      <c r="F9" s="95"/>
      <c r="G9" s="95"/>
      <c r="H9" s="109"/>
      <c r="I9" s="111"/>
    </row>
    <row r="10" spans="1:9" ht="24" thickBot="1">
      <c r="A10" s="84" t="s">
        <v>401</v>
      </c>
      <c r="B10" s="85"/>
      <c r="C10" s="85"/>
      <c r="D10" s="85"/>
      <c r="E10" s="85"/>
      <c r="F10" s="85"/>
      <c r="G10" s="85"/>
      <c r="H10" s="85"/>
      <c r="I10" s="86"/>
    </row>
    <row r="11" spans="1:9" ht="15.75">
      <c r="A11" s="87" t="s">
        <v>416</v>
      </c>
      <c r="B11" s="88"/>
      <c r="C11" s="89" t="s">
        <v>417</v>
      </c>
      <c r="D11" s="89"/>
      <c r="E11" s="89"/>
      <c r="F11" s="89"/>
      <c r="G11" s="89"/>
      <c r="H11" s="89"/>
      <c r="I11" s="49">
        <f>ROUND(SUM('Stavební rozpočet - součet'!F13:F22,'Stavební rozpočet - součet'!F26:F28),0)</f>
        <v>0</v>
      </c>
    </row>
    <row r="12" spans="1:9" ht="16.5" thickBot="1">
      <c r="A12" s="90" t="s">
        <v>170</v>
      </c>
      <c r="B12" s="91"/>
      <c r="C12" s="91" t="s">
        <v>418</v>
      </c>
      <c r="D12" s="91"/>
      <c r="E12" s="91"/>
      <c r="F12" s="91"/>
      <c r="G12" s="91"/>
      <c r="H12" s="91"/>
      <c r="I12" s="50">
        <f>ROUND(('Stavební rozpočet - součet'!F23+'Stavební rozpočet - součet'!F29),0)</f>
        <v>0</v>
      </c>
    </row>
    <row r="13" spans="1:9" ht="16.5" thickBot="1">
      <c r="A13" s="96"/>
      <c r="B13" s="97"/>
      <c r="C13" s="98"/>
      <c r="D13" s="98"/>
      <c r="E13" s="98"/>
      <c r="F13" s="98"/>
      <c r="G13" s="98"/>
      <c r="H13" s="98"/>
      <c r="I13" s="51"/>
    </row>
    <row r="14" spans="1:9" ht="15.75">
      <c r="A14" s="103"/>
      <c r="B14" s="104"/>
      <c r="C14" s="104"/>
      <c r="D14" s="104"/>
      <c r="E14" s="104"/>
      <c r="F14" s="105"/>
      <c r="G14" s="101" t="s">
        <v>407</v>
      </c>
      <c r="H14" s="102"/>
      <c r="I14" s="52">
        <f>I11+I12</f>
        <v>0</v>
      </c>
    </row>
    <row r="15" spans="1:9" ht="16.5" thickBot="1">
      <c r="A15" s="106" t="s">
        <v>402</v>
      </c>
      <c r="B15" s="100"/>
      <c r="C15" s="53">
        <f>I14</f>
        <v>0</v>
      </c>
      <c r="D15" s="99" t="s">
        <v>405</v>
      </c>
      <c r="E15" s="100"/>
      <c r="F15" s="53">
        <f>ROUND(C15*(21/100),0)</f>
        <v>0</v>
      </c>
      <c r="G15" s="99" t="s">
        <v>408</v>
      </c>
      <c r="H15" s="100"/>
      <c r="I15" s="54">
        <f>C15+F15</f>
        <v>0</v>
      </c>
    </row>
    <row r="16" spans="1:9" ht="13.5" thickBot="1">
      <c r="A16" s="55"/>
      <c r="B16" s="56"/>
      <c r="C16" s="56"/>
      <c r="D16" s="56"/>
      <c r="E16" s="56"/>
      <c r="F16" s="56"/>
      <c r="G16" s="56"/>
      <c r="H16" s="56"/>
      <c r="I16" s="57"/>
    </row>
    <row r="17" spans="1:9" ht="15">
      <c r="A17" s="76" t="s">
        <v>403</v>
      </c>
      <c r="B17" s="77"/>
      <c r="C17" s="78"/>
      <c r="D17" s="76" t="s">
        <v>406</v>
      </c>
      <c r="E17" s="77"/>
      <c r="F17" s="78"/>
      <c r="G17" s="76" t="s">
        <v>409</v>
      </c>
      <c r="H17" s="77"/>
      <c r="I17" s="78"/>
    </row>
    <row r="18" spans="1:9" ht="15">
      <c r="A18" s="70"/>
      <c r="B18" s="71"/>
      <c r="C18" s="72"/>
      <c r="D18" s="70"/>
      <c r="E18" s="71"/>
      <c r="F18" s="72"/>
      <c r="G18" s="70"/>
      <c r="H18" s="71"/>
      <c r="I18" s="72"/>
    </row>
    <row r="19" spans="1:9" ht="15">
      <c r="A19" s="70"/>
      <c r="B19" s="71"/>
      <c r="C19" s="72"/>
      <c r="D19" s="70"/>
      <c r="E19" s="71"/>
      <c r="F19" s="72"/>
      <c r="G19" s="70"/>
      <c r="H19" s="71"/>
      <c r="I19" s="72"/>
    </row>
    <row r="20" spans="1:9" ht="15">
      <c r="A20" s="70"/>
      <c r="B20" s="71"/>
      <c r="C20" s="72"/>
      <c r="D20" s="70"/>
      <c r="E20" s="71"/>
      <c r="F20" s="72"/>
      <c r="G20" s="70"/>
      <c r="H20" s="71"/>
      <c r="I20" s="72"/>
    </row>
    <row r="21" spans="1:9" ht="15.75" thickBot="1">
      <c r="A21" s="73" t="s">
        <v>404</v>
      </c>
      <c r="B21" s="74"/>
      <c r="C21" s="75"/>
      <c r="D21" s="73" t="s">
        <v>404</v>
      </c>
      <c r="E21" s="74"/>
      <c r="F21" s="75"/>
      <c r="G21" s="73" t="s">
        <v>404</v>
      </c>
      <c r="H21" s="74"/>
      <c r="I21" s="75"/>
    </row>
  </sheetData>
  <sheetProtection/>
  <mergeCells count="48">
    <mergeCell ref="A2:B3"/>
    <mergeCell ref="A4:B5"/>
    <mergeCell ref="C4:D5"/>
    <mergeCell ref="E4:E5"/>
    <mergeCell ref="F4:G5"/>
    <mergeCell ref="H4:H5"/>
    <mergeCell ref="I4:I5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13:B13"/>
    <mergeCell ref="C13:H13"/>
    <mergeCell ref="A19:C19"/>
    <mergeCell ref="D19:F19"/>
    <mergeCell ref="G19:I19"/>
    <mergeCell ref="D15:E15"/>
    <mergeCell ref="G15:H15"/>
    <mergeCell ref="G14:H14"/>
    <mergeCell ref="A14:F14"/>
    <mergeCell ref="A15:B15"/>
    <mergeCell ref="A1:I1"/>
    <mergeCell ref="C2:I3"/>
    <mergeCell ref="A10:I10"/>
    <mergeCell ref="A11:B11"/>
    <mergeCell ref="C11:H11"/>
    <mergeCell ref="A12:B12"/>
    <mergeCell ref="C12:H12"/>
    <mergeCell ref="A8:B9"/>
    <mergeCell ref="C8:D9"/>
    <mergeCell ref="E8:E9"/>
    <mergeCell ref="A17:C17"/>
    <mergeCell ref="D17:F17"/>
    <mergeCell ref="G17:I17"/>
    <mergeCell ref="A18:C18"/>
    <mergeCell ref="D18:F18"/>
    <mergeCell ref="G18:I18"/>
    <mergeCell ref="A20:C20"/>
    <mergeCell ref="D20:F20"/>
    <mergeCell ref="G20:I20"/>
    <mergeCell ref="A21:C21"/>
    <mergeCell ref="D21:F21"/>
    <mergeCell ref="G21:I21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42" sqref="D42"/>
    </sheetView>
  </sheetViews>
  <sheetFormatPr defaultColWidth="11.57421875" defaultRowHeight="12.75"/>
  <cols>
    <col min="1" max="2" width="16.57421875" style="0" customWidth="1"/>
    <col min="3" max="3" width="58.0039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24" t="s">
        <v>394</v>
      </c>
      <c r="B1" s="125"/>
      <c r="C1" s="125"/>
      <c r="D1" s="125"/>
      <c r="E1" s="125"/>
      <c r="F1" s="125"/>
      <c r="G1" s="125"/>
    </row>
    <row r="2" spans="1:8" ht="12.75">
      <c r="A2" s="126" t="s">
        <v>1</v>
      </c>
      <c r="B2" s="127" t="str">
        <f>'Stavební rozpočet'!D2</f>
        <v>OPRAVA SOKLU DIVADLA - BUDOVA Č.P. 911, KRNOV</v>
      </c>
      <c r="C2" s="128"/>
      <c r="D2" s="130" t="s">
        <v>343</v>
      </c>
      <c r="E2" s="131" t="s">
        <v>419</v>
      </c>
      <c r="F2" s="132"/>
      <c r="G2" s="133"/>
      <c r="H2" s="36"/>
    </row>
    <row r="3" spans="1:8" ht="12.75">
      <c r="A3" s="115"/>
      <c r="B3" s="129"/>
      <c r="C3" s="129"/>
      <c r="D3" s="117"/>
      <c r="E3" s="117"/>
      <c r="F3" s="117"/>
      <c r="G3" s="118"/>
      <c r="H3" s="36"/>
    </row>
    <row r="4" spans="1:8" ht="12.75">
      <c r="A4" s="114" t="s">
        <v>2</v>
      </c>
      <c r="B4" s="116" t="str">
        <f>'Stavební rozpočet'!D4</f>
        <v>městské divadlo</v>
      </c>
      <c r="C4" s="117"/>
      <c r="D4" s="116" t="s">
        <v>344</v>
      </c>
      <c r="E4" s="93" t="s">
        <v>420</v>
      </c>
      <c r="F4" s="117"/>
      <c r="G4" s="118"/>
      <c r="H4" s="36"/>
    </row>
    <row r="5" spans="1:8" ht="12.75">
      <c r="A5" s="115"/>
      <c r="B5" s="117"/>
      <c r="C5" s="117"/>
      <c r="D5" s="117"/>
      <c r="E5" s="117"/>
      <c r="F5" s="117"/>
      <c r="G5" s="118"/>
      <c r="H5" s="36"/>
    </row>
    <row r="6" spans="1:8" ht="12.75">
      <c r="A6" s="114" t="s">
        <v>3</v>
      </c>
      <c r="B6" s="116" t="str">
        <f>'Stavební rozpočet'!D6</f>
        <v>Mikulášská 911/12, 794 01 Krnov</v>
      </c>
      <c r="C6" s="117"/>
      <c r="D6" s="93" t="s">
        <v>346</v>
      </c>
      <c r="E6" s="93"/>
      <c r="F6" s="117"/>
      <c r="G6" s="118"/>
      <c r="H6" s="36"/>
    </row>
    <row r="7" spans="1:8" ht="12.75">
      <c r="A7" s="115"/>
      <c r="B7" s="117"/>
      <c r="C7" s="117"/>
      <c r="D7" s="117"/>
      <c r="E7" s="117"/>
      <c r="F7" s="117"/>
      <c r="G7" s="118"/>
      <c r="H7" s="36"/>
    </row>
    <row r="8" spans="1:8" ht="12.75">
      <c r="A8" s="119" t="s">
        <v>421</v>
      </c>
      <c r="B8" s="93" t="s">
        <v>415</v>
      </c>
      <c r="C8" s="117"/>
      <c r="D8" s="122" t="s">
        <v>330</v>
      </c>
      <c r="E8" s="116"/>
      <c r="F8" s="117"/>
      <c r="G8" s="118"/>
      <c r="H8" s="36"/>
    </row>
    <row r="9" spans="1:8" ht="12.75">
      <c r="A9" s="120"/>
      <c r="B9" s="121"/>
      <c r="C9" s="121"/>
      <c r="D9" s="121"/>
      <c r="E9" s="121"/>
      <c r="F9" s="121"/>
      <c r="G9" s="123"/>
      <c r="H9" s="36"/>
    </row>
    <row r="10" spans="1:8" ht="12.75">
      <c r="A10" s="44" t="s">
        <v>94</v>
      </c>
      <c r="B10" s="45" t="s">
        <v>97</v>
      </c>
      <c r="C10" s="46" t="s">
        <v>179</v>
      </c>
      <c r="D10" s="47" t="s">
        <v>395</v>
      </c>
      <c r="E10" s="47" t="s">
        <v>396</v>
      </c>
      <c r="F10" s="47" t="s">
        <v>397</v>
      </c>
      <c r="G10" s="48" t="s">
        <v>398</v>
      </c>
      <c r="H10" s="37"/>
    </row>
    <row r="11" spans="1:9" ht="12.75">
      <c r="A11" s="58"/>
      <c r="B11" s="58"/>
      <c r="C11" s="58"/>
      <c r="D11" s="59"/>
      <c r="E11" s="59"/>
      <c r="F11" s="59"/>
      <c r="G11" s="59"/>
      <c r="H11" s="38" t="s">
        <v>399</v>
      </c>
      <c r="I11" s="38">
        <f aca="true" t="shared" si="0" ref="I11:I22">IF(H11="F",0,F12)</f>
        <v>0</v>
      </c>
    </row>
    <row r="12" spans="1:9" ht="12.75">
      <c r="A12" s="60" t="s">
        <v>95</v>
      </c>
      <c r="B12" s="60"/>
      <c r="C12" s="60" t="s">
        <v>181</v>
      </c>
      <c r="D12" s="61">
        <f>'Stavební rozpočet'!H12</f>
        <v>0</v>
      </c>
      <c r="E12" s="61">
        <f>'Stavební rozpočet'!I12</f>
        <v>0</v>
      </c>
      <c r="F12" s="61">
        <f>'Stavební rozpočet'!J12</f>
        <v>0</v>
      </c>
      <c r="G12" s="61">
        <f>'Stavební rozpočet'!L12</f>
        <v>165.2762705</v>
      </c>
      <c r="H12" s="38" t="s">
        <v>400</v>
      </c>
      <c r="I12" s="38">
        <f t="shared" si="0"/>
        <v>0</v>
      </c>
    </row>
    <row r="13" spans="1:9" ht="12.75">
      <c r="A13" s="18" t="s">
        <v>95</v>
      </c>
      <c r="B13" s="18" t="s">
        <v>19</v>
      </c>
      <c r="C13" s="18" t="s">
        <v>182</v>
      </c>
      <c r="D13" s="38">
        <f>'Stavební rozpočet'!H13</f>
        <v>0</v>
      </c>
      <c r="E13" s="38">
        <f>'Stavební rozpočet'!I13</f>
        <v>0</v>
      </c>
      <c r="F13" s="38">
        <f>'Stavební rozpočet'!J13</f>
        <v>0</v>
      </c>
      <c r="G13" s="38">
        <f>'Stavební rozpočet'!L13</f>
        <v>0</v>
      </c>
      <c r="H13" s="38" t="s">
        <v>400</v>
      </c>
      <c r="I13" s="38">
        <f t="shared" si="0"/>
        <v>0</v>
      </c>
    </row>
    <row r="14" spans="1:9" ht="12.75">
      <c r="A14" s="18" t="s">
        <v>95</v>
      </c>
      <c r="B14" s="18" t="s">
        <v>27</v>
      </c>
      <c r="C14" s="18" t="s">
        <v>188</v>
      </c>
      <c r="D14" s="38">
        <f>'Stavební rozpočet'!H22</f>
        <v>0</v>
      </c>
      <c r="E14" s="38">
        <f>'Stavební rozpočet'!I22</f>
        <v>0</v>
      </c>
      <c r="F14" s="38">
        <f>'Stavební rozpočet'!J22</f>
        <v>0</v>
      </c>
      <c r="G14" s="38">
        <f>'Stavební rozpočet'!L22</f>
        <v>47.932254400000005</v>
      </c>
      <c r="H14" s="38" t="s">
        <v>400</v>
      </c>
      <c r="I14" s="38">
        <f t="shared" si="0"/>
        <v>0</v>
      </c>
    </row>
    <row r="15" spans="1:9" ht="12.75">
      <c r="A15" s="18" t="s">
        <v>95</v>
      </c>
      <c r="B15" s="18" t="s">
        <v>37</v>
      </c>
      <c r="C15" s="18" t="s">
        <v>196</v>
      </c>
      <c r="D15" s="38">
        <f>'Stavební rozpočet'!H31</f>
        <v>0</v>
      </c>
      <c r="E15" s="38">
        <f>'Stavební rozpočet'!I31</f>
        <v>0</v>
      </c>
      <c r="F15" s="38">
        <f>'Stavební rozpočet'!J31</f>
        <v>0</v>
      </c>
      <c r="G15" s="38">
        <f>'Stavební rozpočet'!L31</f>
        <v>1.2907974</v>
      </c>
      <c r="H15" s="38" t="s">
        <v>400</v>
      </c>
      <c r="I15" s="38">
        <f t="shared" si="0"/>
        <v>0</v>
      </c>
    </row>
    <row r="16" spans="1:9" ht="12.75">
      <c r="A16" s="18" t="s">
        <v>95</v>
      </c>
      <c r="B16" s="18" t="s">
        <v>65</v>
      </c>
      <c r="C16" s="18" t="s">
        <v>201</v>
      </c>
      <c r="D16" s="38">
        <f>'Stavební rozpočet'!H36</f>
        <v>0</v>
      </c>
      <c r="E16" s="38">
        <f>'Stavební rozpočet'!I36</f>
        <v>0</v>
      </c>
      <c r="F16" s="38">
        <f>'Stavební rozpočet'!J36</f>
        <v>0</v>
      </c>
      <c r="G16" s="38">
        <f>'Stavební rozpočet'!L36</f>
        <v>71.1755736</v>
      </c>
      <c r="H16" s="38" t="s">
        <v>400</v>
      </c>
      <c r="I16" s="38">
        <f t="shared" si="0"/>
        <v>0</v>
      </c>
    </row>
    <row r="17" spans="1:9" ht="12.75">
      <c r="A17" s="18" t="s">
        <v>95</v>
      </c>
      <c r="B17" s="18" t="s">
        <v>68</v>
      </c>
      <c r="C17" s="18" t="s">
        <v>212</v>
      </c>
      <c r="D17" s="38">
        <f>'Stavební rozpočet'!H52</f>
        <v>0</v>
      </c>
      <c r="E17" s="38">
        <f>'Stavební rozpočet'!I52</f>
        <v>0</v>
      </c>
      <c r="F17" s="38">
        <f>'Stavební rozpočet'!J52</f>
        <v>0</v>
      </c>
      <c r="G17" s="38">
        <f>'Stavební rozpočet'!L52</f>
        <v>1.5153808</v>
      </c>
      <c r="H17" s="38" t="s">
        <v>400</v>
      </c>
      <c r="I17" s="38">
        <f t="shared" si="0"/>
        <v>0</v>
      </c>
    </row>
    <row r="18" spans="1:9" ht="12.75">
      <c r="A18" s="18" t="s">
        <v>95</v>
      </c>
      <c r="B18" s="18" t="s">
        <v>128</v>
      </c>
      <c r="C18" s="18" t="s">
        <v>234</v>
      </c>
      <c r="D18" s="38">
        <f>'Stavební rozpočet'!H84</f>
        <v>0</v>
      </c>
      <c r="E18" s="38">
        <f>'Stavební rozpočet'!I84</f>
        <v>0</v>
      </c>
      <c r="F18" s="38">
        <f>'Stavební rozpočet'!J84</f>
        <v>0</v>
      </c>
      <c r="G18" s="38">
        <f>'Stavební rozpočet'!L84</f>
        <v>0.10586440000000001</v>
      </c>
      <c r="H18" s="38" t="s">
        <v>400</v>
      </c>
      <c r="I18" s="38">
        <f t="shared" si="0"/>
        <v>0</v>
      </c>
    </row>
    <row r="19" spans="1:9" ht="12.75">
      <c r="A19" s="18" t="s">
        <v>95</v>
      </c>
      <c r="B19" s="18" t="s">
        <v>136</v>
      </c>
      <c r="C19" s="18" t="s">
        <v>256</v>
      </c>
      <c r="D19" s="38">
        <f>'Stavební rozpočet'!H119</f>
        <v>0</v>
      </c>
      <c r="E19" s="38">
        <f>'Stavební rozpočet'!I119</f>
        <v>0</v>
      </c>
      <c r="F19" s="38">
        <f>'Stavební rozpočet'!J119</f>
        <v>0</v>
      </c>
      <c r="G19" s="38">
        <f>'Stavební rozpočet'!L119</f>
        <v>0.061101</v>
      </c>
      <c r="H19" s="38" t="s">
        <v>400</v>
      </c>
      <c r="I19" s="38">
        <f t="shared" si="0"/>
        <v>0</v>
      </c>
    </row>
    <row r="20" spans="1:9" ht="12.75">
      <c r="A20" s="18" t="s">
        <v>95</v>
      </c>
      <c r="B20" s="18" t="s">
        <v>145</v>
      </c>
      <c r="C20" s="18" t="s">
        <v>268</v>
      </c>
      <c r="D20" s="38">
        <f>'Stavební rozpočet'!H135</f>
        <v>0</v>
      </c>
      <c r="E20" s="38">
        <f>'Stavební rozpočet'!I135</f>
        <v>0</v>
      </c>
      <c r="F20" s="38">
        <f>'Stavební rozpočet'!J135</f>
        <v>0</v>
      </c>
      <c r="G20" s="38">
        <f>'Stavební rozpočet'!L135</f>
        <v>21.5885511</v>
      </c>
      <c r="H20" s="38" t="s">
        <v>400</v>
      </c>
      <c r="I20" s="38">
        <f t="shared" si="0"/>
        <v>0</v>
      </c>
    </row>
    <row r="21" spans="1:9" ht="12.75">
      <c r="A21" s="18" t="s">
        <v>95</v>
      </c>
      <c r="B21" s="18" t="s">
        <v>159</v>
      </c>
      <c r="C21" s="18" t="s">
        <v>302</v>
      </c>
      <c r="D21" s="38">
        <f>'Stavební rozpočet'!H178</f>
        <v>0</v>
      </c>
      <c r="E21" s="38">
        <f>'Stavební rozpočet'!I178</f>
        <v>0</v>
      </c>
      <c r="F21" s="38">
        <f>'Stavební rozpočet'!J178</f>
        <v>0</v>
      </c>
      <c r="G21" s="38">
        <f>'Stavební rozpočet'!L178</f>
        <v>21.606747800000004</v>
      </c>
      <c r="H21" s="38" t="s">
        <v>400</v>
      </c>
      <c r="I21" s="38">
        <f t="shared" si="0"/>
        <v>0</v>
      </c>
    </row>
    <row r="22" spans="1:9" ht="12.75">
      <c r="A22" s="18" t="s">
        <v>95</v>
      </c>
      <c r="B22" s="18" t="s">
        <v>168</v>
      </c>
      <c r="C22" s="18" t="s">
        <v>312</v>
      </c>
      <c r="D22" s="38">
        <f>'Stavební rozpočet'!H204</f>
        <v>0</v>
      </c>
      <c r="E22" s="38">
        <f>'Stavební rozpočet'!I204</f>
        <v>0</v>
      </c>
      <c r="F22" s="38">
        <f>'Stavební rozpočet'!J204</f>
        <v>0</v>
      </c>
      <c r="G22" s="38">
        <f>'Stavební rozpočet'!L204</f>
        <v>0</v>
      </c>
      <c r="H22" s="38" t="s">
        <v>400</v>
      </c>
      <c r="I22" s="38">
        <f t="shared" si="0"/>
        <v>0</v>
      </c>
    </row>
    <row r="23" spans="1:9" ht="12.75">
      <c r="A23" s="18" t="s">
        <v>95</v>
      </c>
      <c r="B23" s="18" t="s">
        <v>170</v>
      </c>
      <c r="C23" s="18" t="s">
        <v>314</v>
      </c>
      <c r="D23" s="38">
        <f>'Stavební rozpočet'!H206</f>
        <v>0</v>
      </c>
      <c r="E23" s="38">
        <f>'Stavební rozpočet'!I206</f>
        <v>0</v>
      </c>
      <c r="F23" s="38">
        <f>'Stavební rozpočet'!J206</f>
        <v>0</v>
      </c>
      <c r="G23" s="38">
        <f>'Stavební rozpočet'!L206</f>
        <v>0</v>
      </c>
      <c r="H23" s="38" t="s">
        <v>399</v>
      </c>
      <c r="I23" s="38">
        <f>IF(H23="F",0,F25)</f>
        <v>0</v>
      </c>
    </row>
    <row r="24" spans="1:9" ht="12.75">
      <c r="A24" s="18"/>
      <c r="B24" s="18"/>
      <c r="C24" s="18"/>
      <c r="D24" s="38"/>
      <c r="E24" s="38"/>
      <c r="F24" s="38"/>
      <c r="G24" s="38"/>
      <c r="H24" s="38"/>
      <c r="I24" s="38"/>
    </row>
    <row r="25" spans="1:9" ht="12.75">
      <c r="A25" s="60" t="s">
        <v>96</v>
      </c>
      <c r="B25" s="60"/>
      <c r="C25" s="60" t="s">
        <v>317</v>
      </c>
      <c r="D25" s="61">
        <f>'Stavební rozpočet'!H209</f>
        <v>0</v>
      </c>
      <c r="E25" s="61">
        <f>'Stavební rozpočet'!I209</f>
        <v>0</v>
      </c>
      <c r="F25" s="61">
        <f>'Stavební rozpočet'!J209</f>
        <v>0</v>
      </c>
      <c r="G25" s="61">
        <f>'Stavební rozpočet'!L209</f>
        <v>5.962431199999999</v>
      </c>
      <c r="H25" s="38" t="s">
        <v>400</v>
      </c>
      <c r="I25" s="38">
        <f>IF(H25="F",0,F26)</f>
        <v>0</v>
      </c>
    </row>
    <row r="26" spans="1:9" ht="12.75">
      <c r="A26" s="18" t="s">
        <v>96</v>
      </c>
      <c r="B26" s="18" t="s">
        <v>68</v>
      </c>
      <c r="C26" s="18" t="s">
        <v>212</v>
      </c>
      <c r="D26" s="38">
        <f>'Stavební rozpočet'!H210</f>
        <v>0</v>
      </c>
      <c r="E26" s="38">
        <f>'Stavební rozpočet'!I210</f>
        <v>0</v>
      </c>
      <c r="F26" s="38">
        <f>'Stavební rozpočet'!J210</f>
        <v>0</v>
      </c>
      <c r="G26" s="38">
        <f>'Stavební rozpočet'!L210</f>
        <v>1.4971112000000002</v>
      </c>
      <c r="H26" s="38" t="s">
        <v>400</v>
      </c>
      <c r="I26" s="38">
        <f>IF(H26="F",0,F27)</f>
        <v>0</v>
      </c>
    </row>
    <row r="27" spans="1:9" ht="12.75">
      <c r="A27" s="18" t="s">
        <v>96</v>
      </c>
      <c r="B27" s="18" t="s">
        <v>145</v>
      </c>
      <c r="C27" s="18" t="s">
        <v>268</v>
      </c>
      <c r="D27" s="38">
        <f>'Stavební rozpočet'!H232</f>
        <v>0</v>
      </c>
      <c r="E27" s="38">
        <f>'Stavební rozpočet'!I232</f>
        <v>0</v>
      </c>
      <c r="F27" s="38">
        <f>'Stavební rozpočet'!J232</f>
        <v>0</v>
      </c>
      <c r="G27" s="38">
        <f>'Stavební rozpočet'!L232</f>
        <v>1.428</v>
      </c>
      <c r="H27" s="38" t="s">
        <v>400</v>
      </c>
      <c r="I27" s="38">
        <f>IF(H27="F",0,F28)</f>
        <v>0</v>
      </c>
    </row>
    <row r="28" spans="1:9" ht="12.75">
      <c r="A28" s="18" t="s">
        <v>96</v>
      </c>
      <c r="B28" s="18" t="s">
        <v>159</v>
      </c>
      <c r="C28" s="18" t="s">
        <v>302</v>
      </c>
      <c r="D28" s="38">
        <f>'Stavební rozpočet'!H237</f>
        <v>0</v>
      </c>
      <c r="E28" s="38">
        <f>'Stavební rozpočet'!I237</f>
        <v>0</v>
      </c>
      <c r="F28" s="38">
        <f>'Stavební rozpočet'!J237</f>
        <v>0</v>
      </c>
      <c r="G28" s="38">
        <f>'Stavební rozpočet'!L237</f>
        <v>3.03732</v>
      </c>
      <c r="H28" s="38" t="s">
        <v>400</v>
      </c>
      <c r="I28" s="38">
        <f>IF(H28="F",0,F29)</f>
        <v>0</v>
      </c>
    </row>
    <row r="29" spans="1:7" ht="12.75">
      <c r="A29" s="18" t="s">
        <v>96</v>
      </c>
      <c r="B29" s="18" t="s">
        <v>170</v>
      </c>
      <c r="C29" s="18" t="s">
        <v>314</v>
      </c>
      <c r="D29" s="38">
        <f>'Stavební rozpočet'!H247</f>
        <v>0</v>
      </c>
      <c r="E29" s="38">
        <f>'Stavební rozpočet'!I247</f>
        <v>0</v>
      </c>
      <c r="F29" s="38">
        <f>'Stavební rozpočet'!J247</f>
        <v>0</v>
      </c>
      <c r="G29" s="38">
        <f>'Stavební rozpočet'!L247</f>
        <v>0</v>
      </c>
    </row>
    <row r="30" ht="13.5" thickBot="1"/>
    <row r="31" spans="1:7" ht="13.5" thickBot="1">
      <c r="A31" s="62"/>
      <c r="B31" s="63"/>
      <c r="C31" s="63"/>
      <c r="D31" s="63"/>
      <c r="E31" s="64" t="s">
        <v>349</v>
      </c>
      <c r="F31" s="65">
        <f>ROUND(SUM(I11:I28),0)</f>
        <v>0</v>
      </c>
      <c r="G31" s="66"/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2"/>
  <sheetViews>
    <sheetView zoomScale="85" zoomScaleNormal="85" zoomScalePageLayoutView="0" workbookViewId="0" topLeftCell="B1">
      <pane ySplit="11" topLeftCell="A12" activePane="bottomLeft" state="frozen"/>
      <selection pane="topLeft" activeCell="A1" sqref="A1"/>
      <selection pane="bottomLeft" activeCell="N25" sqref="N25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27.710937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 ht="12.75">
      <c r="A2" s="126" t="s">
        <v>1</v>
      </c>
      <c r="B2" s="132"/>
      <c r="C2" s="132"/>
      <c r="D2" s="127" t="s">
        <v>176</v>
      </c>
      <c r="E2" s="139"/>
      <c r="F2" s="132"/>
      <c r="G2" s="139" t="s">
        <v>6</v>
      </c>
      <c r="H2" s="130" t="s">
        <v>343</v>
      </c>
      <c r="I2" s="140" t="s">
        <v>423</v>
      </c>
      <c r="J2" s="132"/>
      <c r="K2" s="132"/>
      <c r="L2" s="132"/>
      <c r="M2" s="133"/>
      <c r="N2" s="36"/>
    </row>
    <row r="3" spans="1:14" ht="12.75">
      <c r="A3" s="115"/>
      <c r="B3" s="117"/>
      <c r="C3" s="117"/>
      <c r="D3" s="129"/>
      <c r="E3" s="117"/>
      <c r="F3" s="117"/>
      <c r="G3" s="117"/>
      <c r="H3" s="117"/>
      <c r="I3" s="117"/>
      <c r="J3" s="117"/>
      <c r="K3" s="117"/>
      <c r="L3" s="117"/>
      <c r="M3" s="118"/>
      <c r="N3" s="36"/>
    </row>
    <row r="4" spans="1:14" ht="12.75">
      <c r="A4" s="114" t="s">
        <v>2</v>
      </c>
      <c r="B4" s="117"/>
      <c r="C4" s="117"/>
      <c r="D4" s="116" t="s">
        <v>177</v>
      </c>
      <c r="E4" s="122"/>
      <c r="F4" s="117"/>
      <c r="G4" s="122" t="s">
        <v>340</v>
      </c>
      <c r="H4" s="116" t="s">
        <v>344</v>
      </c>
      <c r="I4" s="141" t="s">
        <v>420</v>
      </c>
      <c r="J4" s="117"/>
      <c r="K4" s="117"/>
      <c r="L4" s="117"/>
      <c r="M4" s="118"/>
      <c r="N4" s="36"/>
    </row>
    <row r="5" spans="1:14" ht="12.75">
      <c r="A5" s="115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36"/>
    </row>
    <row r="6" spans="1:14" ht="12.75">
      <c r="A6" s="114" t="s">
        <v>3</v>
      </c>
      <c r="B6" s="117"/>
      <c r="C6" s="117"/>
      <c r="D6" s="116" t="s">
        <v>178</v>
      </c>
      <c r="E6" s="108"/>
      <c r="F6" s="117"/>
      <c r="G6" s="108"/>
      <c r="H6" s="93" t="s">
        <v>345</v>
      </c>
      <c r="I6" s="141"/>
      <c r="J6" s="117"/>
      <c r="K6" s="117"/>
      <c r="L6" s="117"/>
      <c r="M6" s="118"/>
      <c r="N6" s="36"/>
    </row>
    <row r="7" spans="1:14" ht="12.75">
      <c r="A7" s="115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36"/>
    </row>
    <row r="8" spans="1:14" ht="12.75">
      <c r="A8" s="114" t="s">
        <v>4</v>
      </c>
      <c r="B8" s="117"/>
      <c r="C8" s="117"/>
      <c r="D8" s="138">
        <v>0</v>
      </c>
      <c r="E8" s="122"/>
      <c r="F8" s="117"/>
      <c r="G8" s="122"/>
      <c r="H8" s="93" t="s">
        <v>330</v>
      </c>
      <c r="I8" s="138"/>
      <c r="J8" s="117"/>
      <c r="K8" s="117"/>
      <c r="L8" s="117"/>
      <c r="M8" s="118"/>
      <c r="N8" s="36"/>
    </row>
    <row r="9" spans="1:14" ht="12.7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3"/>
      <c r="N9" s="36"/>
    </row>
    <row r="10" spans="1:14" ht="12.75">
      <c r="A10" s="1" t="s">
        <v>5</v>
      </c>
      <c r="B10" s="11" t="s">
        <v>94</v>
      </c>
      <c r="C10" s="11" t="s">
        <v>97</v>
      </c>
      <c r="D10" s="11" t="s">
        <v>179</v>
      </c>
      <c r="E10" s="11" t="s">
        <v>331</v>
      </c>
      <c r="F10" s="19" t="s">
        <v>339</v>
      </c>
      <c r="G10" s="24" t="s">
        <v>341</v>
      </c>
      <c r="H10" s="134" t="s">
        <v>347</v>
      </c>
      <c r="I10" s="135"/>
      <c r="J10" s="136"/>
      <c r="K10" s="134" t="s">
        <v>352</v>
      </c>
      <c r="L10" s="136"/>
      <c r="M10" s="32" t="s">
        <v>353</v>
      </c>
      <c r="N10" s="37"/>
    </row>
    <row r="11" spans="1:62" ht="12.75">
      <c r="A11" s="2" t="s">
        <v>6</v>
      </c>
      <c r="B11" s="12" t="s">
        <v>6</v>
      </c>
      <c r="C11" s="12" t="s">
        <v>6</v>
      </c>
      <c r="D11" s="16" t="s">
        <v>180</v>
      </c>
      <c r="E11" s="12" t="s">
        <v>6</v>
      </c>
      <c r="F11" s="12" t="s">
        <v>6</v>
      </c>
      <c r="G11" s="25" t="s">
        <v>342</v>
      </c>
      <c r="H11" s="26" t="s">
        <v>348</v>
      </c>
      <c r="I11" s="27" t="s">
        <v>350</v>
      </c>
      <c r="J11" s="28" t="s">
        <v>351</v>
      </c>
      <c r="K11" s="26" t="s">
        <v>341</v>
      </c>
      <c r="L11" s="28" t="s">
        <v>351</v>
      </c>
      <c r="M11" s="33" t="s">
        <v>354</v>
      </c>
      <c r="N11" s="37"/>
      <c r="Z11" s="30" t="s">
        <v>357</v>
      </c>
      <c r="AA11" s="30" t="s">
        <v>358</v>
      </c>
      <c r="AB11" s="30" t="s">
        <v>359</v>
      </c>
      <c r="AC11" s="30" t="s">
        <v>360</v>
      </c>
      <c r="AD11" s="30" t="s">
        <v>361</v>
      </c>
      <c r="AE11" s="30" t="s">
        <v>362</v>
      </c>
      <c r="AF11" s="30" t="s">
        <v>363</v>
      </c>
      <c r="AG11" s="30" t="s">
        <v>364</v>
      </c>
      <c r="AH11" s="30" t="s">
        <v>365</v>
      </c>
      <c r="BH11" s="30" t="s">
        <v>391</v>
      </c>
      <c r="BI11" s="30" t="s">
        <v>392</v>
      </c>
      <c r="BJ11" s="30" t="s">
        <v>393</v>
      </c>
    </row>
    <row r="12" spans="1:13" ht="12.75">
      <c r="A12" s="3"/>
      <c r="B12" s="13" t="s">
        <v>95</v>
      </c>
      <c r="C12" s="13"/>
      <c r="D12" s="13" t="s">
        <v>181</v>
      </c>
      <c r="E12" s="3" t="s">
        <v>6</v>
      </c>
      <c r="F12" s="3" t="s">
        <v>6</v>
      </c>
      <c r="G12" s="3" t="s">
        <v>6</v>
      </c>
      <c r="H12" s="40">
        <f>H13+H22+H31+H36+H52+H84+H119+H135+H178+H204+H206</f>
        <v>0</v>
      </c>
      <c r="I12" s="40">
        <f>I13+I22+I31+I36+I52+I84+I119+I135+I178+I204+I206</f>
        <v>0</v>
      </c>
      <c r="J12" s="40">
        <f>J13+J22+J31+J36+J52+J84+J119+J135+J178+J204+J206</f>
        <v>0</v>
      </c>
      <c r="K12" s="29"/>
      <c r="L12" s="40">
        <f>L13+L22+L31+L36+L52+L84+L119+L135+L178+L204+L206</f>
        <v>165.2762705</v>
      </c>
      <c r="M12" s="29"/>
    </row>
    <row r="13" spans="1:47" ht="12.75">
      <c r="A13" s="4"/>
      <c r="B13" s="14" t="s">
        <v>95</v>
      </c>
      <c r="C13" s="14" t="s">
        <v>19</v>
      </c>
      <c r="D13" s="14" t="s">
        <v>182</v>
      </c>
      <c r="E13" s="4" t="s">
        <v>6</v>
      </c>
      <c r="F13" s="4" t="s">
        <v>6</v>
      </c>
      <c r="G13" s="4" t="s">
        <v>6</v>
      </c>
      <c r="H13" s="41">
        <f>SUM(H14:H20)</f>
        <v>0</v>
      </c>
      <c r="I13" s="41">
        <f>SUM(I14:I20)</f>
        <v>0</v>
      </c>
      <c r="J13" s="41">
        <f>SUM(J14:J20)</f>
        <v>0</v>
      </c>
      <c r="K13" s="30"/>
      <c r="L13" s="41">
        <f>SUM(L14:L20)</f>
        <v>0</v>
      </c>
      <c r="M13" s="30"/>
      <c r="AI13" s="30" t="s">
        <v>95</v>
      </c>
      <c r="AS13" s="41">
        <f>SUM(AJ14:AJ20)</f>
        <v>0</v>
      </c>
      <c r="AT13" s="41">
        <f>SUM(AK14:AK20)</f>
        <v>0</v>
      </c>
      <c r="AU13" s="41">
        <f>SUM(AL14:AL20)</f>
        <v>0</v>
      </c>
    </row>
    <row r="14" spans="1:62" ht="12.75">
      <c r="A14" s="5" t="s">
        <v>7</v>
      </c>
      <c r="B14" s="5" t="s">
        <v>95</v>
      </c>
      <c r="C14" s="5" t="s">
        <v>98</v>
      </c>
      <c r="D14" s="5" t="s">
        <v>183</v>
      </c>
      <c r="E14" s="5" t="s">
        <v>332</v>
      </c>
      <c r="F14" s="20">
        <v>11.4</v>
      </c>
      <c r="G14" s="20">
        <v>0</v>
      </c>
      <c r="H14" s="20">
        <f>F14*AO14</f>
        <v>0</v>
      </c>
      <c r="I14" s="20">
        <f>F14*AP14</f>
        <v>0</v>
      </c>
      <c r="J14" s="20">
        <f>F14*G14</f>
        <v>0</v>
      </c>
      <c r="K14" s="20">
        <v>0</v>
      </c>
      <c r="L14" s="20">
        <f>F14*K14</f>
        <v>0</v>
      </c>
      <c r="M14" s="34" t="s">
        <v>355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30" t="s">
        <v>95</v>
      </c>
      <c r="AJ14" s="20">
        <f>IF(AN14=0,J14,0)</f>
        <v>0</v>
      </c>
      <c r="AK14" s="20">
        <f>IF(AN14=15,J14,0)</f>
        <v>0</v>
      </c>
      <c r="AL14" s="20">
        <f>IF(AN14=21,J14,0)</f>
        <v>0</v>
      </c>
      <c r="AN14" s="38">
        <v>21</v>
      </c>
      <c r="AO14" s="38">
        <f>G14*0</f>
        <v>0</v>
      </c>
      <c r="AP14" s="38">
        <f>G14*(1-0)</f>
        <v>0</v>
      </c>
      <c r="AQ14" s="34" t="s">
        <v>7</v>
      </c>
      <c r="AV14" s="38">
        <f>AW14+AX14</f>
        <v>0</v>
      </c>
      <c r="AW14" s="38">
        <f>F14*AO14</f>
        <v>0</v>
      </c>
      <c r="AX14" s="38">
        <f>F14*AP14</f>
        <v>0</v>
      </c>
      <c r="AY14" s="39" t="s">
        <v>366</v>
      </c>
      <c r="AZ14" s="39" t="s">
        <v>377</v>
      </c>
      <c r="BA14" s="30" t="s">
        <v>389</v>
      </c>
      <c r="BC14" s="38">
        <f>AW14+AX14</f>
        <v>0</v>
      </c>
      <c r="BD14" s="38">
        <f>G14/(100-BE14)*100</f>
        <v>0</v>
      </c>
      <c r="BE14" s="38">
        <v>0</v>
      </c>
      <c r="BF14" s="38">
        <f>L14</f>
        <v>0</v>
      </c>
      <c r="BH14" s="20">
        <f>F14*AO14</f>
        <v>0</v>
      </c>
      <c r="BI14" s="20">
        <f>F14*AP14</f>
        <v>0</v>
      </c>
      <c r="BJ14" s="20">
        <f>F14*G14</f>
        <v>0</v>
      </c>
    </row>
    <row r="15" spans="4:6" ht="12.75">
      <c r="D15" s="17" t="s">
        <v>184</v>
      </c>
      <c r="F15" s="21">
        <v>11.4</v>
      </c>
    </row>
    <row r="16" spans="1:62" ht="12.75">
      <c r="A16" s="5" t="s">
        <v>8</v>
      </c>
      <c r="B16" s="5" t="s">
        <v>95</v>
      </c>
      <c r="C16" s="5" t="s">
        <v>99</v>
      </c>
      <c r="D16" s="5" t="s">
        <v>185</v>
      </c>
      <c r="E16" s="5" t="s">
        <v>332</v>
      </c>
      <c r="F16" s="20">
        <v>11.4</v>
      </c>
      <c r="G16" s="20">
        <v>0</v>
      </c>
      <c r="H16" s="20">
        <f>F16*AO16</f>
        <v>0</v>
      </c>
      <c r="I16" s="20">
        <f>F16*AP16</f>
        <v>0</v>
      </c>
      <c r="J16" s="20">
        <f>F16*G16</f>
        <v>0</v>
      </c>
      <c r="K16" s="20">
        <v>0</v>
      </c>
      <c r="L16" s="20">
        <f>F16*K16</f>
        <v>0</v>
      </c>
      <c r="M16" s="34" t="s">
        <v>355</v>
      </c>
      <c r="Z16" s="38">
        <f>IF(AQ16="5",BJ16,0)</f>
        <v>0</v>
      </c>
      <c r="AB16" s="38">
        <f>IF(AQ16="1",BH16,0)</f>
        <v>0</v>
      </c>
      <c r="AC16" s="38">
        <f>IF(AQ16="1",BI16,0)</f>
        <v>0</v>
      </c>
      <c r="AD16" s="38">
        <f>IF(AQ16="7",BH16,0)</f>
        <v>0</v>
      </c>
      <c r="AE16" s="38">
        <f>IF(AQ16="7",BI16,0)</f>
        <v>0</v>
      </c>
      <c r="AF16" s="38">
        <f>IF(AQ16="2",BH16,0)</f>
        <v>0</v>
      </c>
      <c r="AG16" s="38">
        <f>IF(AQ16="2",BI16,0)</f>
        <v>0</v>
      </c>
      <c r="AH16" s="38">
        <f>IF(AQ16="0",BJ16,0)</f>
        <v>0</v>
      </c>
      <c r="AI16" s="30" t="s">
        <v>95</v>
      </c>
      <c r="AJ16" s="20">
        <f>IF(AN16=0,J16,0)</f>
        <v>0</v>
      </c>
      <c r="AK16" s="20">
        <f>IF(AN16=15,J16,0)</f>
        <v>0</v>
      </c>
      <c r="AL16" s="20">
        <f>IF(AN16=21,J16,0)</f>
        <v>0</v>
      </c>
      <c r="AN16" s="38">
        <v>21</v>
      </c>
      <c r="AO16" s="38">
        <f>G16*0</f>
        <v>0</v>
      </c>
      <c r="AP16" s="38">
        <f>G16*(1-0)</f>
        <v>0</v>
      </c>
      <c r="AQ16" s="34" t="s">
        <v>7</v>
      </c>
      <c r="AV16" s="38">
        <f>AW16+AX16</f>
        <v>0</v>
      </c>
      <c r="AW16" s="38">
        <f>F16*AO16</f>
        <v>0</v>
      </c>
      <c r="AX16" s="38">
        <f>F16*AP16</f>
        <v>0</v>
      </c>
      <c r="AY16" s="39" t="s">
        <v>366</v>
      </c>
      <c r="AZ16" s="39" t="s">
        <v>377</v>
      </c>
      <c r="BA16" s="30" t="s">
        <v>389</v>
      </c>
      <c r="BC16" s="38">
        <f>AW16+AX16</f>
        <v>0</v>
      </c>
      <c r="BD16" s="38">
        <f>G16/(100-BE16)*100</f>
        <v>0</v>
      </c>
      <c r="BE16" s="38">
        <v>0</v>
      </c>
      <c r="BF16" s="38">
        <f>L16</f>
        <v>0</v>
      </c>
      <c r="BH16" s="20">
        <f>F16*AO16</f>
        <v>0</v>
      </c>
      <c r="BI16" s="20">
        <f>F16*AP16</f>
        <v>0</v>
      </c>
      <c r="BJ16" s="20">
        <f>F16*G16</f>
        <v>0</v>
      </c>
    </row>
    <row r="17" spans="4:6" ht="12.75">
      <c r="D17" s="17" t="s">
        <v>184</v>
      </c>
      <c r="F17" s="21">
        <v>11.4</v>
      </c>
    </row>
    <row r="18" spans="1:62" ht="12.75">
      <c r="A18" s="5" t="s">
        <v>9</v>
      </c>
      <c r="B18" s="5" t="s">
        <v>95</v>
      </c>
      <c r="C18" s="5" t="s">
        <v>100</v>
      </c>
      <c r="D18" s="5" t="s">
        <v>186</v>
      </c>
      <c r="E18" s="5" t="s">
        <v>332</v>
      </c>
      <c r="F18" s="20">
        <v>11.4</v>
      </c>
      <c r="G18" s="20">
        <v>0</v>
      </c>
      <c r="H18" s="20">
        <f>F18*AO18</f>
        <v>0</v>
      </c>
      <c r="I18" s="20">
        <f>F18*AP18</f>
        <v>0</v>
      </c>
      <c r="J18" s="20">
        <f>F18*G18</f>
        <v>0</v>
      </c>
      <c r="K18" s="20">
        <v>0</v>
      </c>
      <c r="L18" s="20">
        <f>F18*K18</f>
        <v>0</v>
      </c>
      <c r="M18" s="34" t="s">
        <v>355</v>
      </c>
      <c r="Z18" s="38">
        <f>IF(AQ18="5",BJ18,0)</f>
        <v>0</v>
      </c>
      <c r="AB18" s="38">
        <f>IF(AQ18="1",BH18,0)</f>
        <v>0</v>
      </c>
      <c r="AC18" s="38">
        <f>IF(AQ18="1",BI18,0)</f>
        <v>0</v>
      </c>
      <c r="AD18" s="38">
        <f>IF(AQ18="7",BH18,0)</f>
        <v>0</v>
      </c>
      <c r="AE18" s="38">
        <f>IF(AQ18="7",BI18,0)</f>
        <v>0</v>
      </c>
      <c r="AF18" s="38">
        <f>IF(AQ18="2",BH18,0)</f>
        <v>0</v>
      </c>
      <c r="AG18" s="38">
        <f>IF(AQ18="2",BI18,0)</f>
        <v>0</v>
      </c>
      <c r="AH18" s="38">
        <f>IF(AQ18="0",BJ18,0)</f>
        <v>0</v>
      </c>
      <c r="AI18" s="30" t="s">
        <v>95</v>
      </c>
      <c r="AJ18" s="20">
        <f>IF(AN18=0,J18,0)</f>
        <v>0</v>
      </c>
      <c r="AK18" s="20">
        <f>IF(AN18=15,J18,0)</f>
        <v>0</v>
      </c>
      <c r="AL18" s="20">
        <f>IF(AN18=21,J18,0)</f>
        <v>0</v>
      </c>
      <c r="AN18" s="38">
        <v>21</v>
      </c>
      <c r="AO18" s="38">
        <f>G18*0</f>
        <v>0</v>
      </c>
      <c r="AP18" s="38">
        <f>G18*(1-0)</f>
        <v>0</v>
      </c>
      <c r="AQ18" s="34" t="s">
        <v>7</v>
      </c>
      <c r="AV18" s="38">
        <f>AW18+AX18</f>
        <v>0</v>
      </c>
      <c r="AW18" s="38">
        <f>F18*AO18</f>
        <v>0</v>
      </c>
      <c r="AX18" s="38">
        <f>F18*AP18</f>
        <v>0</v>
      </c>
      <c r="AY18" s="39" t="s">
        <v>366</v>
      </c>
      <c r="AZ18" s="39" t="s">
        <v>377</v>
      </c>
      <c r="BA18" s="30" t="s">
        <v>389</v>
      </c>
      <c r="BC18" s="38">
        <f>AW18+AX18</f>
        <v>0</v>
      </c>
      <c r="BD18" s="38">
        <f>G18/(100-BE18)*100</f>
        <v>0</v>
      </c>
      <c r="BE18" s="38">
        <v>0</v>
      </c>
      <c r="BF18" s="38">
        <f>L18</f>
        <v>0</v>
      </c>
      <c r="BH18" s="20">
        <f>F18*AO18</f>
        <v>0</v>
      </c>
      <c r="BI18" s="20">
        <f>F18*AP18</f>
        <v>0</v>
      </c>
      <c r="BJ18" s="20">
        <f>F18*G18</f>
        <v>0</v>
      </c>
    </row>
    <row r="19" spans="4:6" ht="12.75">
      <c r="D19" s="17" t="s">
        <v>184</v>
      </c>
      <c r="F19" s="21">
        <v>11.4</v>
      </c>
    </row>
    <row r="20" spans="1:62" ht="12.75">
      <c r="A20" s="5" t="s">
        <v>10</v>
      </c>
      <c r="B20" s="5" t="s">
        <v>95</v>
      </c>
      <c r="C20" s="5" t="s">
        <v>101</v>
      </c>
      <c r="D20" s="5" t="s">
        <v>187</v>
      </c>
      <c r="E20" s="5" t="s">
        <v>332</v>
      </c>
      <c r="F20" s="20">
        <v>11.4</v>
      </c>
      <c r="G20" s="20">
        <v>0</v>
      </c>
      <c r="H20" s="20">
        <f>F20*AO20</f>
        <v>0</v>
      </c>
      <c r="I20" s="20">
        <f>F20*AP20</f>
        <v>0</v>
      </c>
      <c r="J20" s="20">
        <f>F20*G20</f>
        <v>0</v>
      </c>
      <c r="K20" s="20">
        <v>0</v>
      </c>
      <c r="L20" s="20">
        <f>F20*K20</f>
        <v>0</v>
      </c>
      <c r="M20" s="34" t="s">
        <v>355</v>
      </c>
      <c r="Z20" s="38">
        <f>IF(AQ20="5",BJ20,0)</f>
        <v>0</v>
      </c>
      <c r="AB20" s="38">
        <f>IF(AQ20="1",BH20,0)</f>
        <v>0</v>
      </c>
      <c r="AC20" s="38">
        <f>IF(AQ20="1",BI20,0)</f>
        <v>0</v>
      </c>
      <c r="AD20" s="38">
        <f>IF(AQ20="7",BH20,0)</f>
        <v>0</v>
      </c>
      <c r="AE20" s="38">
        <f>IF(AQ20="7",BI20,0)</f>
        <v>0</v>
      </c>
      <c r="AF20" s="38">
        <f>IF(AQ20="2",BH20,0)</f>
        <v>0</v>
      </c>
      <c r="AG20" s="38">
        <f>IF(AQ20="2",BI20,0)</f>
        <v>0</v>
      </c>
      <c r="AH20" s="38">
        <f>IF(AQ20="0",BJ20,0)</f>
        <v>0</v>
      </c>
      <c r="AI20" s="30" t="s">
        <v>95</v>
      </c>
      <c r="AJ20" s="20">
        <f>IF(AN20=0,J20,0)</f>
        <v>0</v>
      </c>
      <c r="AK20" s="20">
        <f>IF(AN20=15,J20,0)</f>
        <v>0</v>
      </c>
      <c r="AL20" s="20">
        <f>IF(AN20=21,J20,0)</f>
        <v>0</v>
      </c>
      <c r="AN20" s="38">
        <v>21</v>
      </c>
      <c r="AO20" s="38">
        <f>G20*0</f>
        <v>0</v>
      </c>
      <c r="AP20" s="38">
        <f>G20*(1-0)</f>
        <v>0</v>
      </c>
      <c r="AQ20" s="34" t="s">
        <v>7</v>
      </c>
      <c r="AV20" s="38">
        <f>AW20+AX20</f>
        <v>0</v>
      </c>
      <c r="AW20" s="38">
        <f>F20*AO20</f>
        <v>0</v>
      </c>
      <c r="AX20" s="38">
        <f>F20*AP20</f>
        <v>0</v>
      </c>
      <c r="AY20" s="39" t="s">
        <v>366</v>
      </c>
      <c r="AZ20" s="39" t="s">
        <v>377</v>
      </c>
      <c r="BA20" s="30" t="s">
        <v>389</v>
      </c>
      <c r="BC20" s="38">
        <f>AW20+AX20</f>
        <v>0</v>
      </c>
      <c r="BD20" s="38">
        <f>G20/(100-BE20)*100</f>
        <v>0</v>
      </c>
      <c r="BE20" s="38">
        <v>0</v>
      </c>
      <c r="BF20" s="38">
        <f>L20</f>
        <v>0</v>
      </c>
      <c r="BH20" s="20">
        <f>F20*AO20</f>
        <v>0</v>
      </c>
      <c r="BI20" s="20">
        <f>F20*AP20</f>
        <v>0</v>
      </c>
      <c r="BJ20" s="20">
        <f>F20*G20</f>
        <v>0</v>
      </c>
    </row>
    <row r="21" spans="4:6" ht="12.75">
      <c r="D21" s="17" t="s">
        <v>184</v>
      </c>
      <c r="F21" s="21">
        <v>11.4</v>
      </c>
    </row>
    <row r="22" spans="1:47" ht="12.75">
      <c r="A22" s="4"/>
      <c r="B22" s="14" t="s">
        <v>95</v>
      </c>
      <c r="C22" s="14" t="s">
        <v>27</v>
      </c>
      <c r="D22" s="14" t="s">
        <v>188</v>
      </c>
      <c r="E22" s="4" t="s">
        <v>6</v>
      </c>
      <c r="F22" s="4" t="s">
        <v>6</v>
      </c>
      <c r="G22" s="4" t="s">
        <v>6</v>
      </c>
      <c r="H22" s="41">
        <f>SUM(H23:H30)</f>
        <v>0</v>
      </c>
      <c r="I22" s="41">
        <f>SUM(I23:I30)</f>
        <v>0</v>
      </c>
      <c r="J22" s="41">
        <f>SUM(J23:J30)</f>
        <v>0</v>
      </c>
      <c r="K22" s="30"/>
      <c r="L22" s="41">
        <f>SUM(L23:L30)</f>
        <v>47.932254400000005</v>
      </c>
      <c r="M22" s="30"/>
      <c r="AI22" s="30" t="s">
        <v>95</v>
      </c>
      <c r="AS22" s="41">
        <f>SUM(AJ23:AJ30)</f>
        <v>0</v>
      </c>
      <c r="AT22" s="41">
        <f>SUM(AK23:AK30)</f>
        <v>0</v>
      </c>
      <c r="AU22" s="41">
        <f>SUM(AL23:AL30)</f>
        <v>0</v>
      </c>
    </row>
    <row r="23" spans="1:62" ht="12.75">
      <c r="A23" s="5" t="s">
        <v>11</v>
      </c>
      <c r="B23" s="5" t="s">
        <v>95</v>
      </c>
      <c r="C23" s="5" t="s">
        <v>102</v>
      </c>
      <c r="D23" s="5" t="s">
        <v>189</v>
      </c>
      <c r="E23" s="5" t="s">
        <v>333</v>
      </c>
      <c r="F23" s="20">
        <v>97.68</v>
      </c>
      <c r="G23" s="20">
        <v>0</v>
      </c>
      <c r="H23" s="20">
        <f>F23*AO23</f>
        <v>0</v>
      </c>
      <c r="I23" s="20">
        <f>F23*AP23</f>
        <v>0</v>
      </c>
      <c r="J23" s="20">
        <f>F23*G23</f>
        <v>0</v>
      </c>
      <c r="K23" s="20">
        <v>0.42531</v>
      </c>
      <c r="L23" s="20">
        <f>F23*K23</f>
        <v>41.5442808</v>
      </c>
      <c r="M23" s="34" t="s">
        <v>355</v>
      </c>
      <c r="Z23" s="38">
        <f>IF(AQ23="5",BJ23,0)</f>
        <v>0</v>
      </c>
      <c r="AB23" s="38">
        <f>IF(AQ23="1",BH23,0)</f>
        <v>0</v>
      </c>
      <c r="AC23" s="38">
        <f>IF(AQ23="1",BI23,0)</f>
        <v>0</v>
      </c>
      <c r="AD23" s="38">
        <f>IF(AQ23="7",BH23,0)</f>
        <v>0</v>
      </c>
      <c r="AE23" s="38">
        <f>IF(AQ23="7",BI23,0)</f>
        <v>0</v>
      </c>
      <c r="AF23" s="38">
        <f>IF(AQ23="2",BH23,0)</f>
        <v>0</v>
      </c>
      <c r="AG23" s="38">
        <f>IF(AQ23="2",BI23,0)</f>
        <v>0</v>
      </c>
      <c r="AH23" s="38">
        <f>IF(AQ23="0",BJ23,0)</f>
        <v>0</v>
      </c>
      <c r="AI23" s="30" t="s">
        <v>95</v>
      </c>
      <c r="AJ23" s="20">
        <f>IF(AN23=0,J23,0)</f>
        <v>0</v>
      </c>
      <c r="AK23" s="20">
        <f>IF(AN23=15,J23,0)</f>
        <v>0</v>
      </c>
      <c r="AL23" s="20">
        <f>IF(AN23=21,J23,0)</f>
        <v>0</v>
      </c>
      <c r="AN23" s="38">
        <v>21</v>
      </c>
      <c r="AO23" s="38">
        <f>G23*0.676884410539617</f>
        <v>0</v>
      </c>
      <c r="AP23" s="38">
        <f>G23*(1-0.676884410539617)</f>
        <v>0</v>
      </c>
      <c r="AQ23" s="34" t="s">
        <v>7</v>
      </c>
      <c r="AV23" s="38">
        <f>AW23+AX23</f>
        <v>0</v>
      </c>
      <c r="AW23" s="38">
        <f>F23*AO23</f>
        <v>0</v>
      </c>
      <c r="AX23" s="38">
        <f>F23*AP23</f>
        <v>0</v>
      </c>
      <c r="AY23" s="39" t="s">
        <v>367</v>
      </c>
      <c r="AZ23" s="39" t="s">
        <v>378</v>
      </c>
      <c r="BA23" s="30" t="s">
        <v>389</v>
      </c>
      <c r="BC23" s="38">
        <f>AW23+AX23</f>
        <v>0</v>
      </c>
      <c r="BD23" s="38">
        <f>G23/(100-BE23)*100</f>
        <v>0</v>
      </c>
      <c r="BE23" s="38">
        <v>0</v>
      </c>
      <c r="BF23" s="38">
        <f>L23</f>
        <v>41.5442808</v>
      </c>
      <c r="BH23" s="20">
        <f>F23*AO23</f>
        <v>0</v>
      </c>
      <c r="BI23" s="20">
        <f>F23*AP23</f>
        <v>0</v>
      </c>
      <c r="BJ23" s="20">
        <f>F23*G23</f>
        <v>0</v>
      </c>
    </row>
    <row r="24" spans="4:6" ht="12.75">
      <c r="D24" s="17" t="s">
        <v>190</v>
      </c>
      <c r="F24" s="21">
        <v>97.68</v>
      </c>
    </row>
    <row r="25" spans="1:62" ht="12.75">
      <c r="A25" s="5" t="s">
        <v>12</v>
      </c>
      <c r="B25" s="5" t="s">
        <v>95</v>
      </c>
      <c r="C25" s="5" t="s">
        <v>103</v>
      </c>
      <c r="D25" s="5" t="s">
        <v>191</v>
      </c>
      <c r="E25" s="5" t="s">
        <v>333</v>
      </c>
      <c r="F25" s="20">
        <v>97.68</v>
      </c>
      <c r="G25" s="20">
        <v>0</v>
      </c>
      <c r="H25" s="20">
        <f>F25*AO25</f>
        <v>0</v>
      </c>
      <c r="I25" s="20">
        <f>F25*AP25</f>
        <v>0</v>
      </c>
      <c r="J25" s="20">
        <f>F25*G25</f>
        <v>0</v>
      </c>
      <c r="K25" s="20">
        <v>2E-05</v>
      </c>
      <c r="L25" s="20">
        <f>F25*K25</f>
        <v>0.0019536</v>
      </c>
      <c r="M25" s="34" t="s">
        <v>355</v>
      </c>
      <c r="Z25" s="38">
        <f>IF(AQ25="5",BJ25,0)</f>
        <v>0</v>
      </c>
      <c r="AB25" s="38">
        <f>IF(AQ25="1",BH25,0)</f>
        <v>0</v>
      </c>
      <c r="AC25" s="38">
        <f>IF(AQ25="1",BI25,0)</f>
        <v>0</v>
      </c>
      <c r="AD25" s="38">
        <f>IF(AQ25="7",BH25,0)</f>
        <v>0</v>
      </c>
      <c r="AE25" s="38">
        <f>IF(AQ25="7",BI25,0)</f>
        <v>0</v>
      </c>
      <c r="AF25" s="38">
        <f>IF(AQ25="2",BH25,0)</f>
        <v>0</v>
      </c>
      <c r="AG25" s="38">
        <f>IF(AQ25="2",BI25,0)</f>
        <v>0</v>
      </c>
      <c r="AH25" s="38">
        <f>IF(AQ25="0",BJ25,0)</f>
        <v>0</v>
      </c>
      <c r="AI25" s="30" t="s">
        <v>95</v>
      </c>
      <c r="AJ25" s="20">
        <f>IF(AN25=0,J25,0)</f>
        <v>0</v>
      </c>
      <c r="AK25" s="20">
        <f>IF(AN25=15,J25,0)</f>
        <v>0</v>
      </c>
      <c r="AL25" s="20">
        <f>IF(AN25=21,J25,0)</f>
        <v>0</v>
      </c>
      <c r="AN25" s="38">
        <v>21</v>
      </c>
      <c r="AO25" s="38">
        <f>G25*0.039399705486907</f>
        <v>0</v>
      </c>
      <c r="AP25" s="38">
        <f>G25*(1-0.039399705486907)</f>
        <v>0</v>
      </c>
      <c r="AQ25" s="34" t="s">
        <v>7</v>
      </c>
      <c r="AV25" s="38">
        <f>AW25+AX25</f>
        <v>0</v>
      </c>
      <c r="AW25" s="38">
        <f>F25*AO25</f>
        <v>0</v>
      </c>
      <c r="AX25" s="38">
        <f>F25*AP25</f>
        <v>0</v>
      </c>
      <c r="AY25" s="39" t="s">
        <v>367</v>
      </c>
      <c r="AZ25" s="39" t="s">
        <v>378</v>
      </c>
      <c r="BA25" s="30" t="s">
        <v>389</v>
      </c>
      <c r="BC25" s="38">
        <f>AW25+AX25</f>
        <v>0</v>
      </c>
      <c r="BD25" s="38">
        <f>G25/(100-BE25)*100</f>
        <v>0</v>
      </c>
      <c r="BE25" s="38">
        <v>0</v>
      </c>
      <c r="BF25" s="38">
        <f>L25</f>
        <v>0.0019536</v>
      </c>
      <c r="BH25" s="20">
        <f>F25*AO25</f>
        <v>0</v>
      </c>
      <c r="BI25" s="20">
        <f>F25*AP25</f>
        <v>0</v>
      </c>
      <c r="BJ25" s="20">
        <f>F25*G25</f>
        <v>0</v>
      </c>
    </row>
    <row r="26" spans="4:6" ht="12.75">
      <c r="D26" s="17" t="s">
        <v>190</v>
      </c>
      <c r="F26" s="21">
        <v>97.68</v>
      </c>
    </row>
    <row r="27" spans="1:62" ht="12.75">
      <c r="A27" s="5" t="s">
        <v>13</v>
      </c>
      <c r="B27" s="5" t="s">
        <v>95</v>
      </c>
      <c r="C27" s="5" t="s">
        <v>104</v>
      </c>
      <c r="D27" s="5" t="s">
        <v>192</v>
      </c>
      <c r="E27" s="5" t="s">
        <v>332</v>
      </c>
      <c r="F27" s="20">
        <v>3.91</v>
      </c>
      <c r="G27" s="20">
        <v>0</v>
      </c>
      <c r="H27" s="20">
        <f>F27*AO27</f>
        <v>0</v>
      </c>
      <c r="I27" s="20">
        <f>F27*AP27</f>
        <v>0</v>
      </c>
      <c r="J27" s="20">
        <f>F27*G27</f>
        <v>0</v>
      </c>
      <c r="K27" s="20">
        <v>1.63</v>
      </c>
      <c r="L27" s="20">
        <f>F27*K27</f>
        <v>6.3732999999999995</v>
      </c>
      <c r="M27" s="34" t="s">
        <v>355</v>
      </c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30" t="s">
        <v>95</v>
      </c>
      <c r="AJ27" s="20">
        <f>IF(AN27=0,J27,0)</f>
        <v>0</v>
      </c>
      <c r="AK27" s="20">
        <f>IF(AN27=15,J27,0)</f>
        <v>0</v>
      </c>
      <c r="AL27" s="20">
        <f>IF(AN27=21,J27,0)</f>
        <v>0</v>
      </c>
      <c r="AN27" s="38">
        <v>21</v>
      </c>
      <c r="AO27" s="38">
        <f>G27*0.674147269322525</f>
        <v>0</v>
      </c>
      <c r="AP27" s="38">
        <f>G27*(1-0.674147269322525)</f>
        <v>0</v>
      </c>
      <c r="AQ27" s="34" t="s">
        <v>7</v>
      </c>
      <c r="AV27" s="38">
        <f>AW27+AX27</f>
        <v>0</v>
      </c>
      <c r="AW27" s="38">
        <f>F27*AO27</f>
        <v>0</v>
      </c>
      <c r="AX27" s="38">
        <f>F27*AP27</f>
        <v>0</v>
      </c>
      <c r="AY27" s="39" t="s">
        <v>367</v>
      </c>
      <c r="AZ27" s="39" t="s">
        <v>378</v>
      </c>
      <c r="BA27" s="30" t="s">
        <v>389</v>
      </c>
      <c r="BC27" s="38">
        <f>AW27+AX27</f>
        <v>0</v>
      </c>
      <c r="BD27" s="38">
        <f>G27/(100-BE27)*100</f>
        <v>0</v>
      </c>
      <c r="BE27" s="38">
        <v>0</v>
      </c>
      <c r="BF27" s="38">
        <f>L27</f>
        <v>6.3732999999999995</v>
      </c>
      <c r="BH27" s="20">
        <f>F27*AO27</f>
        <v>0</v>
      </c>
      <c r="BI27" s="20">
        <f>F27*AP27</f>
        <v>0</v>
      </c>
      <c r="BJ27" s="20">
        <f>F27*G27</f>
        <v>0</v>
      </c>
    </row>
    <row r="28" spans="4:6" ht="12.75">
      <c r="D28" s="17" t="s">
        <v>193</v>
      </c>
      <c r="F28" s="21">
        <v>3.91</v>
      </c>
    </row>
    <row r="29" spans="1:62" ht="12.75">
      <c r="A29" s="5" t="s">
        <v>14</v>
      </c>
      <c r="B29" s="5" t="s">
        <v>95</v>
      </c>
      <c r="C29" s="5" t="s">
        <v>105</v>
      </c>
      <c r="D29" s="5" t="s">
        <v>194</v>
      </c>
      <c r="E29" s="5" t="s">
        <v>333</v>
      </c>
      <c r="F29" s="20">
        <v>6</v>
      </c>
      <c r="G29" s="20">
        <v>0</v>
      </c>
      <c r="H29" s="20">
        <f>F29*AO29</f>
        <v>0</v>
      </c>
      <c r="I29" s="20">
        <f>F29*AP29</f>
        <v>0</v>
      </c>
      <c r="J29" s="20">
        <f>F29*G29</f>
        <v>0</v>
      </c>
      <c r="K29" s="20">
        <v>2E-05</v>
      </c>
      <c r="L29" s="20">
        <f>F29*K29</f>
        <v>0.00012000000000000002</v>
      </c>
      <c r="M29" s="34" t="s">
        <v>355</v>
      </c>
      <c r="Z29" s="38">
        <f>IF(AQ29="5",BJ29,0)</f>
        <v>0</v>
      </c>
      <c r="AB29" s="38">
        <f>IF(AQ29="1",BH29,0)</f>
        <v>0</v>
      </c>
      <c r="AC29" s="38">
        <f>IF(AQ29="1",BI29,0)</f>
        <v>0</v>
      </c>
      <c r="AD29" s="38">
        <f>IF(AQ29="7",BH29,0)</f>
        <v>0</v>
      </c>
      <c r="AE29" s="38">
        <f>IF(AQ29="7",BI29,0)</f>
        <v>0</v>
      </c>
      <c r="AF29" s="38">
        <f>IF(AQ29="2",BH29,0)</f>
        <v>0</v>
      </c>
      <c r="AG29" s="38">
        <f>IF(AQ29="2",BI29,0)</f>
        <v>0</v>
      </c>
      <c r="AH29" s="38">
        <f>IF(AQ29="0",BJ29,0)</f>
        <v>0</v>
      </c>
      <c r="AI29" s="30" t="s">
        <v>95</v>
      </c>
      <c r="AJ29" s="20">
        <f>IF(AN29=0,J29,0)</f>
        <v>0</v>
      </c>
      <c r="AK29" s="20">
        <f>IF(AN29=15,J29,0)</f>
        <v>0</v>
      </c>
      <c r="AL29" s="20">
        <f>IF(AN29=21,J29,0)</f>
        <v>0</v>
      </c>
      <c r="AN29" s="38">
        <v>21</v>
      </c>
      <c r="AO29" s="38">
        <f>G29*0.112704918032787</f>
        <v>0</v>
      </c>
      <c r="AP29" s="38">
        <f>G29*(1-0.112704918032787)</f>
        <v>0</v>
      </c>
      <c r="AQ29" s="34" t="s">
        <v>7</v>
      </c>
      <c r="AV29" s="38">
        <f>AW29+AX29</f>
        <v>0</v>
      </c>
      <c r="AW29" s="38">
        <f>F29*AO29</f>
        <v>0</v>
      </c>
      <c r="AX29" s="38">
        <f>F29*AP29</f>
        <v>0</v>
      </c>
      <c r="AY29" s="39" t="s">
        <v>367</v>
      </c>
      <c r="AZ29" s="39" t="s">
        <v>378</v>
      </c>
      <c r="BA29" s="30" t="s">
        <v>389</v>
      </c>
      <c r="BC29" s="38">
        <f>AW29+AX29</f>
        <v>0</v>
      </c>
      <c r="BD29" s="38">
        <f>G29/(100-BE29)*100</f>
        <v>0</v>
      </c>
      <c r="BE29" s="38">
        <v>0</v>
      </c>
      <c r="BF29" s="38">
        <f>L29</f>
        <v>0.00012000000000000002</v>
      </c>
      <c r="BH29" s="20">
        <f>F29*AO29</f>
        <v>0</v>
      </c>
      <c r="BI29" s="20">
        <f>F29*AP29</f>
        <v>0</v>
      </c>
      <c r="BJ29" s="20">
        <f>F29*G29</f>
        <v>0</v>
      </c>
    </row>
    <row r="30" spans="1:62" ht="12.75">
      <c r="A30" s="5" t="s">
        <v>15</v>
      </c>
      <c r="B30" s="5" t="s">
        <v>95</v>
      </c>
      <c r="C30" s="5" t="s">
        <v>106</v>
      </c>
      <c r="D30" s="5" t="s">
        <v>195</v>
      </c>
      <c r="E30" s="5" t="s">
        <v>333</v>
      </c>
      <c r="F30" s="20">
        <v>6</v>
      </c>
      <c r="G30" s="20">
        <v>0</v>
      </c>
      <c r="H30" s="20">
        <f>F30*AO30</f>
        <v>0</v>
      </c>
      <c r="I30" s="20">
        <f>F30*AP30</f>
        <v>0</v>
      </c>
      <c r="J30" s="20">
        <f>F30*G30</f>
        <v>0</v>
      </c>
      <c r="K30" s="20">
        <v>0.0021</v>
      </c>
      <c r="L30" s="20">
        <f>F30*K30</f>
        <v>0.0126</v>
      </c>
      <c r="M30" s="34" t="s">
        <v>355</v>
      </c>
      <c r="Z30" s="38">
        <f>IF(AQ30="5",BJ30,0)</f>
        <v>0</v>
      </c>
      <c r="AB30" s="38">
        <f>IF(AQ30="1",BH30,0)</f>
        <v>0</v>
      </c>
      <c r="AC30" s="38">
        <f>IF(AQ30="1",BI30,0)</f>
        <v>0</v>
      </c>
      <c r="AD30" s="38">
        <f>IF(AQ30="7",BH30,0)</f>
        <v>0</v>
      </c>
      <c r="AE30" s="38">
        <f>IF(AQ30="7",BI30,0)</f>
        <v>0</v>
      </c>
      <c r="AF30" s="38">
        <f>IF(AQ30="2",BH30,0)</f>
        <v>0</v>
      </c>
      <c r="AG30" s="38">
        <f>IF(AQ30="2",BI30,0)</f>
        <v>0</v>
      </c>
      <c r="AH30" s="38">
        <f>IF(AQ30="0",BJ30,0)</f>
        <v>0</v>
      </c>
      <c r="AI30" s="30" t="s">
        <v>95</v>
      </c>
      <c r="AJ30" s="20">
        <f>IF(AN30=0,J30,0)</f>
        <v>0</v>
      </c>
      <c r="AK30" s="20">
        <f>IF(AN30=15,J30,0)</f>
        <v>0</v>
      </c>
      <c r="AL30" s="20">
        <f>IF(AN30=21,J30,0)</f>
        <v>0</v>
      </c>
      <c r="AN30" s="38">
        <v>21</v>
      </c>
      <c r="AO30" s="38">
        <f>G30*0.390942148760331</f>
        <v>0</v>
      </c>
      <c r="AP30" s="38">
        <f>G30*(1-0.390942148760331)</f>
        <v>0</v>
      </c>
      <c r="AQ30" s="34" t="s">
        <v>7</v>
      </c>
      <c r="AV30" s="38">
        <f>AW30+AX30</f>
        <v>0</v>
      </c>
      <c r="AW30" s="38">
        <f>F30*AO30</f>
        <v>0</v>
      </c>
      <c r="AX30" s="38">
        <f>F30*AP30</f>
        <v>0</v>
      </c>
      <c r="AY30" s="39" t="s">
        <v>367</v>
      </c>
      <c r="AZ30" s="39" t="s">
        <v>378</v>
      </c>
      <c r="BA30" s="30" t="s">
        <v>389</v>
      </c>
      <c r="BC30" s="38">
        <f>AW30+AX30</f>
        <v>0</v>
      </c>
      <c r="BD30" s="38">
        <f>G30/(100-BE30)*100</f>
        <v>0</v>
      </c>
      <c r="BE30" s="38">
        <v>0</v>
      </c>
      <c r="BF30" s="38">
        <f>L30</f>
        <v>0.0126</v>
      </c>
      <c r="BH30" s="20">
        <f>F30*AO30</f>
        <v>0</v>
      </c>
      <c r="BI30" s="20">
        <f>F30*AP30</f>
        <v>0</v>
      </c>
      <c r="BJ30" s="20">
        <f>F30*G30</f>
        <v>0</v>
      </c>
    </row>
    <row r="31" spans="1:47" ht="12.75">
      <c r="A31" s="4"/>
      <c r="B31" s="14" t="s">
        <v>95</v>
      </c>
      <c r="C31" s="14" t="s">
        <v>37</v>
      </c>
      <c r="D31" s="14" t="s">
        <v>196</v>
      </c>
      <c r="E31" s="4" t="s">
        <v>6</v>
      </c>
      <c r="F31" s="4" t="s">
        <v>6</v>
      </c>
      <c r="G31" s="4"/>
      <c r="H31" s="41">
        <f>SUM(H32:H34)</f>
        <v>0</v>
      </c>
      <c r="I31" s="41">
        <f>SUM(I32:I34)</f>
        <v>0</v>
      </c>
      <c r="J31" s="41">
        <f>SUM(J32:J34)</f>
        <v>0</v>
      </c>
      <c r="K31" s="30"/>
      <c r="L31" s="41">
        <f>SUM(L32:L34)</f>
        <v>1.2907974</v>
      </c>
      <c r="M31" s="30"/>
      <c r="AI31" s="30" t="s">
        <v>95</v>
      </c>
      <c r="AS31" s="41">
        <f>SUM(AJ32:AJ34)</f>
        <v>0</v>
      </c>
      <c r="AT31" s="41">
        <f>SUM(AK32:AK34)</f>
        <v>0</v>
      </c>
      <c r="AU31" s="41">
        <f>SUM(AL32:AL34)</f>
        <v>0</v>
      </c>
    </row>
    <row r="32" spans="1:62" ht="12.75">
      <c r="A32" s="5" t="s">
        <v>16</v>
      </c>
      <c r="B32" s="5" t="s">
        <v>95</v>
      </c>
      <c r="C32" s="5" t="s">
        <v>107</v>
      </c>
      <c r="D32" s="5" t="s">
        <v>197</v>
      </c>
      <c r="E32" s="5" t="s">
        <v>334</v>
      </c>
      <c r="F32" s="20">
        <v>9.07</v>
      </c>
      <c r="G32" s="20">
        <v>0</v>
      </c>
      <c r="H32" s="20">
        <f>F32*AO32</f>
        <v>0</v>
      </c>
      <c r="I32" s="20">
        <f>F32*AP32</f>
        <v>0</v>
      </c>
      <c r="J32" s="20">
        <f>F32*G32</f>
        <v>0</v>
      </c>
      <c r="K32" s="20">
        <v>0.11757</v>
      </c>
      <c r="L32" s="20">
        <f>F32*K32</f>
        <v>1.0663599</v>
      </c>
      <c r="M32" s="34" t="s">
        <v>355</v>
      </c>
      <c r="Z32" s="38">
        <f>IF(AQ32="5",BJ32,0)</f>
        <v>0</v>
      </c>
      <c r="AB32" s="38">
        <f>IF(AQ32="1",BH32,0)</f>
        <v>0</v>
      </c>
      <c r="AC32" s="38">
        <f>IF(AQ32="1",BI32,0)</f>
        <v>0</v>
      </c>
      <c r="AD32" s="38">
        <f>IF(AQ32="7",BH32,0)</f>
        <v>0</v>
      </c>
      <c r="AE32" s="38">
        <f>IF(AQ32="7",BI32,0)</f>
        <v>0</v>
      </c>
      <c r="AF32" s="38">
        <f>IF(AQ32="2",BH32,0)</f>
        <v>0</v>
      </c>
      <c r="AG32" s="38">
        <f>IF(AQ32="2",BI32,0)</f>
        <v>0</v>
      </c>
      <c r="AH32" s="38">
        <f>IF(AQ32="0",BJ32,0)</f>
        <v>0</v>
      </c>
      <c r="AI32" s="30" t="s">
        <v>95</v>
      </c>
      <c r="AJ32" s="20">
        <f>IF(AN32=0,J32,0)</f>
        <v>0</v>
      </c>
      <c r="AK32" s="20">
        <f>IF(AN32=15,J32,0)</f>
        <v>0</v>
      </c>
      <c r="AL32" s="20">
        <f>IF(AN32=21,J32,0)</f>
        <v>0</v>
      </c>
      <c r="AN32" s="38">
        <v>21</v>
      </c>
      <c r="AO32" s="38">
        <f>G32*0.327701893500579</f>
        <v>0</v>
      </c>
      <c r="AP32" s="38">
        <f>G32*(1-0.327701893500579)</f>
        <v>0</v>
      </c>
      <c r="AQ32" s="34" t="s">
        <v>7</v>
      </c>
      <c r="AV32" s="38">
        <f>AW32+AX32</f>
        <v>0</v>
      </c>
      <c r="AW32" s="38">
        <f>F32*AO32</f>
        <v>0</v>
      </c>
      <c r="AX32" s="38">
        <f>F32*AP32</f>
        <v>0</v>
      </c>
      <c r="AY32" s="39" t="s">
        <v>368</v>
      </c>
      <c r="AZ32" s="39" t="s">
        <v>379</v>
      </c>
      <c r="BA32" s="30" t="s">
        <v>389</v>
      </c>
      <c r="BC32" s="38">
        <f>AW32+AX32</f>
        <v>0</v>
      </c>
      <c r="BD32" s="38">
        <f>G32/(100-BE32)*100</f>
        <v>0</v>
      </c>
      <c r="BE32" s="38">
        <v>0</v>
      </c>
      <c r="BF32" s="38">
        <f>L32</f>
        <v>1.0663599</v>
      </c>
      <c r="BH32" s="20">
        <f>F32*AO32</f>
        <v>0</v>
      </c>
      <c r="BI32" s="20">
        <f>F32*AP32</f>
        <v>0</v>
      </c>
      <c r="BJ32" s="20">
        <f>F32*G32</f>
        <v>0</v>
      </c>
    </row>
    <row r="33" spans="4:6" ht="12.75">
      <c r="D33" s="17" t="s">
        <v>198</v>
      </c>
      <c r="F33" s="21">
        <v>9.07</v>
      </c>
    </row>
    <row r="34" spans="1:62" ht="12.75">
      <c r="A34" s="5" t="s">
        <v>17</v>
      </c>
      <c r="B34" s="5" t="s">
        <v>95</v>
      </c>
      <c r="C34" s="5" t="s">
        <v>108</v>
      </c>
      <c r="D34" s="5" t="s">
        <v>199</v>
      </c>
      <c r="E34" s="5" t="s">
        <v>334</v>
      </c>
      <c r="F34" s="20">
        <v>9.45</v>
      </c>
      <c r="G34" s="20">
        <v>0</v>
      </c>
      <c r="H34" s="20">
        <f>F34*AO34</f>
        <v>0</v>
      </c>
      <c r="I34" s="20">
        <f>F34*AP34</f>
        <v>0</v>
      </c>
      <c r="J34" s="20">
        <f>F34*G34</f>
        <v>0</v>
      </c>
      <c r="K34" s="20">
        <v>0.02375</v>
      </c>
      <c r="L34" s="20">
        <f>F34*K34</f>
        <v>0.22443749999999998</v>
      </c>
      <c r="M34" s="34" t="s">
        <v>355</v>
      </c>
      <c r="Z34" s="38">
        <f>IF(AQ34="5",BJ34,0)</f>
        <v>0</v>
      </c>
      <c r="AB34" s="38">
        <f>IF(AQ34="1",BH34,0)</f>
        <v>0</v>
      </c>
      <c r="AC34" s="38">
        <f>IF(AQ34="1",BI34,0)</f>
        <v>0</v>
      </c>
      <c r="AD34" s="38">
        <f>IF(AQ34="7",BH34,0)</f>
        <v>0</v>
      </c>
      <c r="AE34" s="38">
        <f>IF(AQ34="7",BI34,0)</f>
        <v>0</v>
      </c>
      <c r="AF34" s="38">
        <f>IF(AQ34="2",BH34,0)</f>
        <v>0</v>
      </c>
      <c r="AG34" s="38">
        <f>IF(AQ34="2",BI34,0)</f>
        <v>0</v>
      </c>
      <c r="AH34" s="38">
        <f>IF(AQ34="0",BJ34,0)</f>
        <v>0</v>
      </c>
      <c r="AI34" s="30" t="s">
        <v>95</v>
      </c>
      <c r="AJ34" s="20">
        <f>IF(AN34=0,J34,0)</f>
        <v>0</v>
      </c>
      <c r="AK34" s="20">
        <f>IF(AN34=15,J34,0)</f>
        <v>0</v>
      </c>
      <c r="AL34" s="20">
        <f>IF(AN34=21,J34,0)</f>
        <v>0</v>
      </c>
      <c r="AN34" s="38">
        <v>21</v>
      </c>
      <c r="AO34" s="38">
        <f>G34*0.284338454879896</f>
        <v>0</v>
      </c>
      <c r="AP34" s="38">
        <f>G34*(1-0.284338454879896)</f>
        <v>0</v>
      </c>
      <c r="AQ34" s="34" t="s">
        <v>7</v>
      </c>
      <c r="AV34" s="38">
        <f>AW34+AX34</f>
        <v>0</v>
      </c>
      <c r="AW34" s="38">
        <f>F34*AO34</f>
        <v>0</v>
      </c>
      <c r="AX34" s="38">
        <f>F34*AP34</f>
        <v>0</v>
      </c>
      <c r="AY34" s="39" t="s">
        <v>368</v>
      </c>
      <c r="AZ34" s="39" t="s">
        <v>379</v>
      </c>
      <c r="BA34" s="30" t="s">
        <v>389</v>
      </c>
      <c r="BC34" s="38">
        <f>AW34+AX34</f>
        <v>0</v>
      </c>
      <c r="BD34" s="38">
        <f>G34/(100-BE34)*100</f>
        <v>0</v>
      </c>
      <c r="BE34" s="38">
        <v>0</v>
      </c>
      <c r="BF34" s="38">
        <f>L34</f>
        <v>0.22443749999999998</v>
      </c>
      <c r="BH34" s="20">
        <f>F34*AO34</f>
        <v>0</v>
      </c>
      <c r="BI34" s="20">
        <f>F34*AP34</f>
        <v>0</v>
      </c>
      <c r="BJ34" s="20">
        <f>F34*G34</f>
        <v>0</v>
      </c>
    </row>
    <row r="35" spans="4:6" ht="12.75">
      <c r="D35" s="17" t="s">
        <v>200</v>
      </c>
      <c r="F35" s="21">
        <v>9.45</v>
      </c>
    </row>
    <row r="36" spans="1:47" ht="12.75">
      <c r="A36" s="4"/>
      <c r="B36" s="14" t="s">
        <v>95</v>
      </c>
      <c r="C36" s="14" t="s">
        <v>65</v>
      </c>
      <c r="D36" s="14" t="s">
        <v>201</v>
      </c>
      <c r="E36" s="4" t="s">
        <v>6</v>
      </c>
      <c r="F36" s="4" t="s">
        <v>6</v>
      </c>
      <c r="G36" s="4" t="s">
        <v>6</v>
      </c>
      <c r="H36" s="41">
        <f>SUM(H37:H51)</f>
        <v>0</v>
      </c>
      <c r="I36" s="41">
        <f>SUM(I37:I51)</f>
        <v>0</v>
      </c>
      <c r="J36" s="41">
        <f>SUM(J37:J51)</f>
        <v>0</v>
      </c>
      <c r="K36" s="30"/>
      <c r="L36" s="41">
        <f>SUM(L37:L51)</f>
        <v>71.1755736</v>
      </c>
      <c r="M36" s="30"/>
      <c r="AI36" s="30" t="s">
        <v>95</v>
      </c>
      <c r="AS36" s="41">
        <f>SUM(AJ37:AJ51)</f>
        <v>0</v>
      </c>
      <c r="AT36" s="41">
        <f>SUM(AK37:AK51)</f>
        <v>0</v>
      </c>
      <c r="AU36" s="41">
        <f>SUM(AL37:AL51)</f>
        <v>0</v>
      </c>
    </row>
    <row r="37" spans="1:62" ht="12.75">
      <c r="A37" s="5" t="s">
        <v>18</v>
      </c>
      <c r="B37" s="5" t="s">
        <v>95</v>
      </c>
      <c r="C37" s="5" t="s">
        <v>109</v>
      </c>
      <c r="D37" s="5" t="s">
        <v>202</v>
      </c>
      <c r="E37" s="5" t="s">
        <v>334</v>
      </c>
      <c r="F37" s="20">
        <v>73.26</v>
      </c>
      <c r="G37" s="20">
        <v>0</v>
      </c>
      <c r="H37" s="20">
        <f>F37*AO37</f>
        <v>0</v>
      </c>
      <c r="I37" s="20">
        <f>F37*AP37</f>
        <v>0</v>
      </c>
      <c r="J37" s="20">
        <f>F37*G37</f>
        <v>0</v>
      </c>
      <c r="K37" s="20">
        <v>0.138</v>
      </c>
      <c r="L37" s="20">
        <f>F37*K37</f>
        <v>10.109880000000002</v>
      </c>
      <c r="M37" s="34" t="s">
        <v>355</v>
      </c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30" t="s">
        <v>95</v>
      </c>
      <c r="AJ37" s="20">
        <f>IF(AN37=0,J37,0)</f>
        <v>0</v>
      </c>
      <c r="AK37" s="20">
        <f>IF(AN37=15,J37,0)</f>
        <v>0</v>
      </c>
      <c r="AL37" s="20">
        <f>IF(AN37=21,J37,0)</f>
        <v>0</v>
      </c>
      <c r="AN37" s="38">
        <v>21</v>
      </c>
      <c r="AO37" s="38">
        <f>G37*0</f>
        <v>0</v>
      </c>
      <c r="AP37" s="38">
        <f>G37*(1-0)</f>
        <v>0</v>
      </c>
      <c r="AQ37" s="34" t="s">
        <v>7</v>
      </c>
      <c r="AV37" s="38">
        <f>AW37+AX37</f>
        <v>0</v>
      </c>
      <c r="AW37" s="38">
        <f>F37*AO37</f>
        <v>0</v>
      </c>
      <c r="AX37" s="38">
        <f>F37*AP37</f>
        <v>0</v>
      </c>
      <c r="AY37" s="39" t="s">
        <v>369</v>
      </c>
      <c r="AZ37" s="39" t="s">
        <v>380</v>
      </c>
      <c r="BA37" s="30" t="s">
        <v>389</v>
      </c>
      <c r="BC37" s="38">
        <f>AW37+AX37</f>
        <v>0</v>
      </c>
      <c r="BD37" s="38">
        <f>G37/(100-BE37)*100</f>
        <v>0</v>
      </c>
      <c r="BE37" s="38">
        <v>0</v>
      </c>
      <c r="BF37" s="38">
        <f>L37</f>
        <v>10.109880000000002</v>
      </c>
      <c r="BH37" s="20">
        <f>F37*AO37</f>
        <v>0</v>
      </c>
      <c r="BI37" s="20">
        <f>F37*AP37</f>
        <v>0</v>
      </c>
      <c r="BJ37" s="20">
        <f>F37*G37</f>
        <v>0</v>
      </c>
    </row>
    <row r="38" spans="4:6" ht="12.75">
      <c r="D38" s="17" t="s">
        <v>203</v>
      </c>
      <c r="F38" s="21">
        <v>73.26</v>
      </c>
    </row>
    <row r="39" spans="1:62" ht="12.75">
      <c r="A39" s="5" t="s">
        <v>19</v>
      </c>
      <c r="B39" s="5" t="s">
        <v>95</v>
      </c>
      <c r="C39" s="5" t="s">
        <v>110</v>
      </c>
      <c r="D39" s="5" t="s">
        <v>204</v>
      </c>
      <c r="E39" s="5" t="s">
        <v>334</v>
      </c>
      <c r="F39" s="20">
        <v>73.26</v>
      </c>
      <c r="G39" s="20">
        <v>0</v>
      </c>
      <c r="H39" s="20">
        <f>F39*AO39</f>
        <v>0</v>
      </c>
      <c r="I39" s="20">
        <f>F39*AP39</f>
        <v>0</v>
      </c>
      <c r="J39" s="20">
        <f>F39*G39</f>
        <v>0</v>
      </c>
      <c r="K39" s="20">
        <v>0</v>
      </c>
      <c r="L39" s="20">
        <f>F39*K39</f>
        <v>0</v>
      </c>
      <c r="M39" s="34" t="s">
        <v>355</v>
      </c>
      <c r="Z39" s="38">
        <f>IF(AQ39="5",BJ39,0)</f>
        <v>0</v>
      </c>
      <c r="AB39" s="38">
        <f>IF(AQ39="1",BH39,0)</f>
        <v>0</v>
      </c>
      <c r="AC39" s="38">
        <f>IF(AQ39="1",BI39,0)</f>
        <v>0</v>
      </c>
      <c r="AD39" s="38">
        <f>IF(AQ39="7",BH39,0)</f>
        <v>0</v>
      </c>
      <c r="AE39" s="38">
        <f>IF(AQ39="7",BI39,0)</f>
        <v>0</v>
      </c>
      <c r="AF39" s="38">
        <f>IF(AQ39="2",BH39,0)</f>
        <v>0</v>
      </c>
      <c r="AG39" s="38">
        <f>IF(AQ39="2",BI39,0)</f>
        <v>0</v>
      </c>
      <c r="AH39" s="38">
        <f>IF(AQ39="0",BJ39,0)</f>
        <v>0</v>
      </c>
      <c r="AI39" s="30" t="s">
        <v>95</v>
      </c>
      <c r="AJ39" s="20">
        <f>IF(AN39=0,J39,0)</f>
        <v>0</v>
      </c>
      <c r="AK39" s="20">
        <f>IF(AN39=15,J39,0)</f>
        <v>0</v>
      </c>
      <c r="AL39" s="20">
        <f>IF(AN39=21,J39,0)</f>
        <v>0</v>
      </c>
      <c r="AN39" s="38">
        <v>21</v>
      </c>
      <c r="AO39" s="38">
        <f>G39*0</f>
        <v>0</v>
      </c>
      <c r="AP39" s="38">
        <f>G39*(1-0)</f>
        <v>0</v>
      </c>
      <c r="AQ39" s="34" t="s">
        <v>7</v>
      </c>
      <c r="AV39" s="38">
        <f>AW39+AX39</f>
        <v>0</v>
      </c>
      <c r="AW39" s="38">
        <f>F39*AO39</f>
        <v>0</v>
      </c>
      <c r="AX39" s="38">
        <f>F39*AP39</f>
        <v>0</v>
      </c>
      <c r="AY39" s="39" t="s">
        <v>369</v>
      </c>
      <c r="AZ39" s="39" t="s">
        <v>380</v>
      </c>
      <c r="BA39" s="30" t="s">
        <v>389</v>
      </c>
      <c r="BC39" s="38">
        <f>AW39+AX39</f>
        <v>0</v>
      </c>
      <c r="BD39" s="38">
        <f>G39/(100-BE39)*100</f>
        <v>0</v>
      </c>
      <c r="BE39" s="38">
        <v>0</v>
      </c>
      <c r="BF39" s="38">
        <f>L39</f>
        <v>0</v>
      </c>
      <c r="BH39" s="20">
        <f>F39*AO39</f>
        <v>0</v>
      </c>
      <c r="BI39" s="20">
        <f>F39*AP39</f>
        <v>0</v>
      </c>
      <c r="BJ39" s="20">
        <f>F39*G39</f>
        <v>0</v>
      </c>
    </row>
    <row r="40" spans="4:6" ht="12.75">
      <c r="D40" s="17" t="s">
        <v>203</v>
      </c>
      <c r="F40" s="21">
        <v>73.26</v>
      </c>
    </row>
    <row r="41" spans="1:62" ht="12.75">
      <c r="A41" s="5" t="s">
        <v>20</v>
      </c>
      <c r="B41" s="5" t="s">
        <v>95</v>
      </c>
      <c r="C41" s="5" t="s">
        <v>111</v>
      </c>
      <c r="D41" s="5" t="s">
        <v>205</v>
      </c>
      <c r="E41" s="5" t="s">
        <v>334</v>
      </c>
      <c r="F41" s="20">
        <v>73.26</v>
      </c>
      <c r="G41" s="20">
        <v>0</v>
      </c>
      <c r="H41" s="20">
        <f>F41*AO41</f>
        <v>0</v>
      </c>
      <c r="I41" s="20">
        <f>F41*AP41</f>
        <v>0</v>
      </c>
      <c r="J41" s="20">
        <f>F41*G41</f>
        <v>0</v>
      </c>
      <c r="K41" s="20">
        <v>0.11</v>
      </c>
      <c r="L41" s="20">
        <f>F41*K41</f>
        <v>8.0586</v>
      </c>
      <c r="M41" s="34" t="s">
        <v>355</v>
      </c>
      <c r="Z41" s="38">
        <f>IF(AQ41="5",BJ41,0)</f>
        <v>0</v>
      </c>
      <c r="AB41" s="38">
        <f>IF(AQ41="1",BH41,0)</f>
        <v>0</v>
      </c>
      <c r="AC41" s="38">
        <f>IF(AQ41="1",BI41,0)</f>
        <v>0</v>
      </c>
      <c r="AD41" s="38">
        <f>IF(AQ41="7",BH41,0)</f>
        <v>0</v>
      </c>
      <c r="AE41" s="38">
        <f>IF(AQ41="7",BI41,0)</f>
        <v>0</v>
      </c>
      <c r="AF41" s="38">
        <f>IF(AQ41="2",BH41,0)</f>
        <v>0</v>
      </c>
      <c r="AG41" s="38">
        <f>IF(AQ41="2",BI41,0)</f>
        <v>0</v>
      </c>
      <c r="AH41" s="38">
        <f>IF(AQ41="0",BJ41,0)</f>
        <v>0</v>
      </c>
      <c r="AI41" s="30" t="s">
        <v>95</v>
      </c>
      <c r="AJ41" s="20">
        <f>IF(AN41=0,J41,0)</f>
        <v>0</v>
      </c>
      <c r="AK41" s="20">
        <f>IF(AN41=15,J41,0)</f>
        <v>0</v>
      </c>
      <c r="AL41" s="20">
        <f>IF(AN41=21,J41,0)</f>
        <v>0</v>
      </c>
      <c r="AN41" s="38">
        <v>21</v>
      </c>
      <c r="AO41" s="38">
        <f>G41*0</f>
        <v>0</v>
      </c>
      <c r="AP41" s="38">
        <f>G41*(1-0)</f>
        <v>0</v>
      </c>
      <c r="AQ41" s="34" t="s">
        <v>7</v>
      </c>
      <c r="AV41" s="38">
        <f>AW41+AX41</f>
        <v>0</v>
      </c>
      <c r="AW41" s="38">
        <f>F41*AO41</f>
        <v>0</v>
      </c>
      <c r="AX41" s="38">
        <f>F41*AP41</f>
        <v>0</v>
      </c>
      <c r="AY41" s="39" t="s">
        <v>369</v>
      </c>
      <c r="AZ41" s="39" t="s">
        <v>380</v>
      </c>
      <c r="BA41" s="30" t="s">
        <v>389</v>
      </c>
      <c r="BC41" s="38">
        <f>AW41+AX41</f>
        <v>0</v>
      </c>
      <c r="BD41" s="38">
        <f>G41/(100-BE41)*100</f>
        <v>0</v>
      </c>
      <c r="BE41" s="38">
        <v>0</v>
      </c>
      <c r="BF41" s="38">
        <f>L41</f>
        <v>8.0586</v>
      </c>
      <c r="BH41" s="20">
        <f>F41*AO41</f>
        <v>0</v>
      </c>
      <c r="BI41" s="20">
        <f>F41*AP41</f>
        <v>0</v>
      </c>
      <c r="BJ41" s="20">
        <f>F41*G41</f>
        <v>0</v>
      </c>
    </row>
    <row r="42" spans="4:6" ht="12.75">
      <c r="D42" s="17" t="s">
        <v>203</v>
      </c>
      <c r="F42" s="21">
        <v>73.26</v>
      </c>
    </row>
    <row r="43" spans="1:62" ht="12.75">
      <c r="A43" s="5" t="s">
        <v>21</v>
      </c>
      <c r="B43" s="5" t="s">
        <v>95</v>
      </c>
      <c r="C43" s="5" t="s">
        <v>112</v>
      </c>
      <c r="D43" s="5" t="s">
        <v>206</v>
      </c>
      <c r="E43" s="5" t="s">
        <v>334</v>
      </c>
      <c r="F43" s="20">
        <v>73.26</v>
      </c>
      <c r="G43" s="20">
        <v>0</v>
      </c>
      <c r="H43" s="20">
        <f>F43*AO43</f>
        <v>0</v>
      </c>
      <c r="I43" s="20">
        <f>F43*AP43</f>
        <v>0</v>
      </c>
      <c r="J43" s="20">
        <f>F43*G43</f>
        <v>0</v>
      </c>
      <c r="K43" s="20">
        <v>0.33</v>
      </c>
      <c r="L43" s="20">
        <f>F43*K43</f>
        <v>24.175800000000002</v>
      </c>
      <c r="M43" s="34" t="s">
        <v>355</v>
      </c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30" t="s">
        <v>95</v>
      </c>
      <c r="AJ43" s="20">
        <f>IF(AN43=0,J43,0)</f>
        <v>0</v>
      </c>
      <c r="AK43" s="20">
        <f>IF(AN43=15,J43,0)</f>
        <v>0</v>
      </c>
      <c r="AL43" s="20">
        <f>IF(AN43=21,J43,0)</f>
        <v>0</v>
      </c>
      <c r="AN43" s="38">
        <v>21</v>
      </c>
      <c r="AO43" s="38">
        <f>G43*0</f>
        <v>0</v>
      </c>
      <c r="AP43" s="38">
        <f>G43*(1-0)</f>
        <v>0</v>
      </c>
      <c r="AQ43" s="34" t="s">
        <v>7</v>
      </c>
      <c r="AV43" s="38">
        <f>AW43+AX43</f>
        <v>0</v>
      </c>
      <c r="AW43" s="38">
        <f>F43*AO43</f>
        <v>0</v>
      </c>
      <c r="AX43" s="38">
        <f>F43*AP43</f>
        <v>0</v>
      </c>
      <c r="AY43" s="39" t="s">
        <v>369</v>
      </c>
      <c r="AZ43" s="39" t="s">
        <v>380</v>
      </c>
      <c r="BA43" s="30" t="s">
        <v>389</v>
      </c>
      <c r="BC43" s="38">
        <f>AW43+AX43</f>
        <v>0</v>
      </c>
      <c r="BD43" s="38">
        <f>G43/(100-BE43)*100</f>
        <v>0</v>
      </c>
      <c r="BE43" s="38">
        <v>0</v>
      </c>
      <c r="BF43" s="38">
        <f>L43</f>
        <v>24.175800000000002</v>
      </c>
      <c r="BH43" s="20">
        <f>F43*AO43</f>
        <v>0</v>
      </c>
      <c r="BI43" s="20">
        <f>F43*AP43</f>
        <v>0</v>
      </c>
      <c r="BJ43" s="20">
        <f>F43*G43</f>
        <v>0</v>
      </c>
    </row>
    <row r="44" spans="4:6" ht="12.75">
      <c r="D44" s="17" t="s">
        <v>203</v>
      </c>
      <c r="F44" s="21">
        <v>73.26</v>
      </c>
    </row>
    <row r="45" spans="1:62" ht="12.75">
      <c r="A45" s="5" t="s">
        <v>22</v>
      </c>
      <c r="B45" s="5" t="s">
        <v>95</v>
      </c>
      <c r="C45" s="5" t="s">
        <v>113</v>
      </c>
      <c r="D45" s="5" t="s">
        <v>207</v>
      </c>
      <c r="E45" s="5" t="s">
        <v>334</v>
      </c>
      <c r="F45" s="20">
        <v>73.26</v>
      </c>
      <c r="G45" s="20">
        <v>0</v>
      </c>
      <c r="H45" s="20">
        <f>F45*AO45</f>
        <v>0</v>
      </c>
      <c r="I45" s="20">
        <f>F45*AP45</f>
        <v>0</v>
      </c>
      <c r="J45" s="20">
        <f>F45*G45</f>
        <v>0</v>
      </c>
      <c r="K45" s="20">
        <v>0.072</v>
      </c>
      <c r="L45" s="20">
        <f>F45*K45</f>
        <v>5.27472</v>
      </c>
      <c r="M45" s="34" t="s">
        <v>355</v>
      </c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30" t="s">
        <v>95</v>
      </c>
      <c r="AJ45" s="20">
        <f>IF(AN45=0,J45,0)</f>
        <v>0</v>
      </c>
      <c r="AK45" s="20">
        <f>IF(AN45=15,J45,0)</f>
        <v>0</v>
      </c>
      <c r="AL45" s="20">
        <f>IF(AN45=21,J45,0)</f>
        <v>0</v>
      </c>
      <c r="AN45" s="38">
        <v>21</v>
      </c>
      <c r="AO45" s="38">
        <f>G45*0.134460138844775</f>
        <v>0</v>
      </c>
      <c r="AP45" s="38">
        <f>G45*(1-0.134460138844775)</f>
        <v>0</v>
      </c>
      <c r="AQ45" s="34" t="s">
        <v>7</v>
      </c>
      <c r="AV45" s="38">
        <f>AW45+AX45</f>
        <v>0</v>
      </c>
      <c r="AW45" s="38">
        <f>F45*AO45</f>
        <v>0</v>
      </c>
      <c r="AX45" s="38">
        <f>F45*AP45</f>
        <v>0</v>
      </c>
      <c r="AY45" s="39" t="s">
        <v>369</v>
      </c>
      <c r="AZ45" s="39" t="s">
        <v>380</v>
      </c>
      <c r="BA45" s="30" t="s">
        <v>389</v>
      </c>
      <c r="BC45" s="38">
        <f>AW45+AX45</f>
        <v>0</v>
      </c>
      <c r="BD45" s="38">
        <f>G45/(100-BE45)*100</f>
        <v>0</v>
      </c>
      <c r="BE45" s="38">
        <v>0</v>
      </c>
      <c r="BF45" s="38">
        <f>L45</f>
        <v>5.27472</v>
      </c>
      <c r="BH45" s="20">
        <f>F45*AO45</f>
        <v>0</v>
      </c>
      <c r="BI45" s="20">
        <f>F45*AP45</f>
        <v>0</v>
      </c>
      <c r="BJ45" s="20">
        <f>F45*G45</f>
        <v>0</v>
      </c>
    </row>
    <row r="46" spans="4:6" ht="12.75">
      <c r="D46" s="17" t="s">
        <v>203</v>
      </c>
      <c r="F46" s="21">
        <v>73.26</v>
      </c>
    </row>
    <row r="47" spans="1:62" ht="12.75">
      <c r="A47" s="5" t="s">
        <v>23</v>
      </c>
      <c r="B47" s="5" t="s">
        <v>95</v>
      </c>
      <c r="C47" s="5" t="s">
        <v>114</v>
      </c>
      <c r="D47" s="5" t="s">
        <v>208</v>
      </c>
      <c r="E47" s="5" t="s">
        <v>334</v>
      </c>
      <c r="F47" s="20">
        <v>73.26</v>
      </c>
      <c r="G47" s="20">
        <v>0</v>
      </c>
      <c r="H47" s="20">
        <f>F47*AO47</f>
        <v>0</v>
      </c>
      <c r="I47" s="20">
        <f>F47*AP47</f>
        <v>0</v>
      </c>
      <c r="J47" s="20">
        <f>F47*G47</f>
        <v>0</v>
      </c>
      <c r="K47" s="20">
        <v>0.30361</v>
      </c>
      <c r="L47" s="20">
        <f>F47*K47</f>
        <v>22.242468600000002</v>
      </c>
      <c r="M47" s="34" t="s">
        <v>355</v>
      </c>
      <c r="Z47" s="38">
        <f>IF(AQ47="5",BJ47,0)</f>
        <v>0</v>
      </c>
      <c r="AB47" s="38">
        <f>IF(AQ47="1",BH47,0)</f>
        <v>0</v>
      </c>
      <c r="AC47" s="38">
        <f>IF(AQ47="1",BI47,0)</f>
        <v>0</v>
      </c>
      <c r="AD47" s="38">
        <f>IF(AQ47="7",BH47,0)</f>
        <v>0</v>
      </c>
      <c r="AE47" s="38">
        <f>IF(AQ47="7",BI47,0)</f>
        <v>0</v>
      </c>
      <c r="AF47" s="38">
        <f>IF(AQ47="2",BH47,0)</f>
        <v>0</v>
      </c>
      <c r="AG47" s="38">
        <f>IF(AQ47="2",BI47,0)</f>
        <v>0</v>
      </c>
      <c r="AH47" s="38">
        <f>IF(AQ47="0",BJ47,0)</f>
        <v>0</v>
      </c>
      <c r="AI47" s="30" t="s">
        <v>95</v>
      </c>
      <c r="AJ47" s="20">
        <f>IF(AN47=0,J47,0)</f>
        <v>0</v>
      </c>
      <c r="AK47" s="20">
        <f>IF(AN47=15,J47,0)</f>
        <v>0</v>
      </c>
      <c r="AL47" s="20">
        <f>IF(AN47=21,J47,0)</f>
        <v>0</v>
      </c>
      <c r="AN47" s="38">
        <v>21</v>
      </c>
      <c r="AO47" s="38">
        <f>G47*0.848013846702493</f>
        <v>0</v>
      </c>
      <c r="AP47" s="38">
        <f>G47*(1-0.848013846702493)</f>
        <v>0</v>
      </c>
      <c r="AQ47" s="34" t="s">
        <v>7</v>
      </c>
      <c r="AV47" s="38">
        <f>AW47+AX47</f>
        <v>0</v>
      </c>
      <c r="AW47" s="38">
        <f>F47*AO47</f>
        <v>0</v>
      </c>
      <c r="AX47" s="38">
        <f>F47*AP47</f>
        <v>0</v>
      </c>
      <c r="AY47" s="39" t="s">
        <v>369</v>
      </c>
      <c r="AZ47" s="39" t="s">
        <v>380</v>
      </c>
      <c r="BA47" s="30" t="s">
        <v>389</v>
      </c>
      <c r="BC47" s="38">
        <f>AW47+AX47</f>
        <v>0</v>
      </c>
      <c r="BD47" s="38">
        <f>G47/(100-BE47)*100</f>
        <v>0</v>
      </c>
      <c r="BE47" s="38">
        <v>0</v>
      </c>
      <c r="BF47" s="38">
        <f>L47</f>
        <v>22.242468600000002</v>
      </c>
      <c r="BH47" s="20">
        <f>F47*AO47</f>
        <v>0</v>
      </c>
      <c r="BI47" s="20">
        <f>F47*AP47</f>
        <v>0</v>
      </c>
      <c r="BJ47" s="20">
        <f>F47*G47</f>
        <v>0</v>
      </c>
    </row>
    <row r="48" spans="4:6" ht="12.75">
      <c r="D48" s="17" t="s">
        <v>203</v>
      </c>
      <c r="F48" s="21">
        <v>73.26</v>
      </c>
    </row>
    <row r="49" spans="1:62" ht="12.75">
      <c r="A49" s="6" t="s">
        <v>24</v>
      </c>
      <c r="B49" s="6" t="s">
        <v>95</v>
      </c>
      <c r="C49" s="6" t="s">
        <v>115</v>
      </c>
      <c r="D49" s="6" t="s">
        <v>209</v>
      </c>
      <c r="E49" s="6" t="s">
        <v>334</v>
      </c>
      <c r="F49" s="22">
        <v>14.65</v>
      </c>
      <c r="G49" s="22">
        <v>0</v>
      </c>
      <c r="H49" s="22">
        <f>F49*AO49</f>
        <v>0</v>
      </c>
      <c r="I49" s="22">
        <f>F49*AP49</f>
        <v>0</v>
      </c>
      <c r="J49" s="22">
        <f>F49*G49</f>
        <v>0</v>
      </c>
      <c r="K49" s="22">
        <v>0.0897</v>
      </c>
      <c r="L49" s="22">
        <f>F49*K49</f>
        <v>1.314105</v>
      </c>
      <c r="M49" s="35" t="s">
        <v>355</v>
      </c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30" t="s">
        <v>95</v>
      </c>
      <c r="AJ49" s="22">
        <f>IF(AN49=0,J49,0)</f>
        <v>0</v>
      </c>
      <c r="AK49" s="22">
        <f>IF(AN49=15,J49,0)</f>
        <v>0</v>
      </c>
      <c r="AL49" s="22">
        <f>IF(AN49=21,J49,0)</f>
        <v>0</v>
      </c>
      <c r="AN49" s="38">
        <v>21</v>
      </c>
      <c r="AO49" s="38">
        <f>G49*1</f>
        <v>0</v>
      </c>
      <c r="AP49" s="38">
        <f>G49*(1-1)</f>
        <v>0</v>
      </c>
      <c r="AQ49" s="35" t="s">
        <v>7</v>
      </c>
      <c r="AV49" s="38">
        <f>AW49+AX49</f>
        <v>0</v>
      </c>
      <c r="AW49" s="38">
        <f>F49*AO49</f>
        <v>0</v>
      </c>
      <c r="AX49" s="38">
        <f>F49*AP49</f>
        <v>0</v>
      </c>
      <c r="AY49" s="39" t="s">
        <v>369</v>
      </c>
      <c r="AZ49" s="39" t="s">
        <v>380</v>
      </c>
      <c r="BA49" s="30" t="s">
        <v>389</v>
      </c>
      <c r="BC49" s="38">
        <f>AW49+AX49</f>
        <v>0</v>
      </c>
      <c r="BD49" s="38">
        <f>G49/(100-BE49)*100</f>
        <v>0</v>
      </c>
      <c r="BE49" s="38">
        <v>0</v>
      </c>
      <c r="BF49" s="38">
        <f>L49</f>
        <v>1.314105</v>
      </c>
      <c r="BH49" s="22">
        <f>F49*AO49</f>
        <v>0</v>
      </c>
      <c r="BI49" s="22">
        <f>F49*AP49</f>
        <v>0</v>
      </c>
      <c r="BJ49" s="22">
        <f>F49*G49</f>
        <v>0</v>
      </c>
    </row>
    <row r="50" spans="4:6" ht="12.75">
      <c r="D50" s="17" t="s">
        <v>210</v>
      </c>
      <c r="F50" s="21">
        <v>14.65</v>
      </c>
    </row>
    <row r="51" spans="1:62" ht="12.75">
      <c r="A51" s="5" t="s">
        <v>25</v>
      </c>
      <c r="B51" s="5" t="s">
        <v>95</v>
      </c>
      <c r="C51" s="5" t="s">
        <v>116</v>
      </c>
      <c r="D51" s="5" t="s">
        <v>211</v>
      </c>
      <c r="E51" s="5" t="s">
        <v>335</v>
      </c>
      <c r="F51" s="20">
        <v>71.18</v>
      </c>
      <c r="G51" s="20">
        <v>0</v>
      </c>
      <c r="H51" s="20">
        <f>F51*AO51</f>
        <v>0</v>
      </c>
      <c r="I51" s="20">
        <f>F51*AP51</f>
        <v>0</v>
      </c>
      <c r="J51" s="20">
        <f>F51*G51</f>
        <v>0</v>
      </c>
      <c r="K51" s="20">
        <v>0</v>
      </c>
      <c r="L51" s="20">
        <f>F51*K51</f>
        <v>0</v>
      </c>
      <c r="M51" s="34" t="s">
        <v>355</v>
      </c>
      <c r="Z51" s="38">
        <f>IF(AQ51="5",BJ51,0)</f>
        <v>0</v>
      </c>
      <c r="AB51" s="38">
        <f>IF(AQ51="1",BH51,0)</f>
        <v>0</v>
      </c>
      <c r="AC51" s="38">
        <f>IF(AQ51="1",BI51,0)</f>
        <v>0</v>
      </c>
      <c r="AD51" s="38">
        <f>IF(AQ51="7",BH51,0)</f>
        <v>0</v>
      </c>
      <c r="AE51" s="38">
        <f>IF(AQ51="7",BI51,0)</f>
        <v>0</v>
      </c>
      <c r="AF51" s="38">
        <f>IF(AQ51="2",BH51,0)</f>
        <v>0</v>
      </c>
      <c r="AG51" s="38">
        <f>IF(AQ51="2",BI51,0)</f>
        <v>0</v>
      </c>
      <c r="AH51" s="38">
        <f>IF(AQ51="0",BJ51,0)</f>
        <v>0</v>
      </c>
      <c r="AI51" s="30" t="s">
        <v>95</v>
      </c>
      <c r="AJ51" s="20">
        <f>IF(AN51=0,J51,0)</f>
        <v>0</v>
      </c>
      <c r="AK51" s="20">
        <f>IF(AN51=15,J51,0)</f>
        <v>0</v>
      </c>
      <c r="AL51" s="20">
        <f>IF(AN51=21,J51,0)</f>
        <v>0</v>
      </c>
      <c r="AN51" s="38">
        <v>21</v>
      </c>
      <c r="AO51" s="38">
        <f>G51*0</f>
        <v>0</v>
      </c>
      <c r="AP51" s="38">
        <f>G51*(1-0)</f>
        <v>0</v>
      </c>
      <c r="AQ51" s="34" t="s">
        <v>11</v>
      </c>
      <c r="AV51" s="38">
        <f>AW51+AX51</f>
        <v>0</v>
      </c>
      <c r="AW51" s="38">
        <f>F51*AO51</f>
        <v>0</v>
      </c>
      <c r="AX51" s="38">
        <f>F51*AP51</f>
        <v>0</v>
      </c>
      <c r="AY51" s="39" t="s">
        <v>369</v>
      </c>
      <c r="AZ51" s="39" t="s">
        <v>380</v>
      </c>
      <c r="BA51" s="30" t="s">
        <v>389</v>
      </c>
      <c r="BC51" s="38">
        <f>AW51+AX51</f>
        <v>0</v>
      </c>
      <c r="BD51" s="38">
        <f>G51/(100-BE51)*100</f>
        <v>0</v>
      </c>
      <c r="BE51" s="38">
        <v>0</v>
      </c>
      <c r="BF51" s="38">
        <f>L51</f>
        <v>0</v>
      </c>
      <c r="BH51" s="20">
        <f>F51*AO51</f>
        <v>0</v>
      </c>
      <c r="BI51" s="20">
        <f>F51*AP51</f>
        <v>0</v>
      </c>
      <c r="BJ51" s="20">
        <f>F51*G51</f>
        <v>0</v>
      </c>
    </row>
    <row r="52" spans="1:47" ht="12.75">
      <c r="A52" s="4"/>
      <c r="B52" s="14" t="s">
        <v>95</v>
      </c>
      <c r="C52" s="14" t="s">
        <v>68</v>
      </c>
      <c r="D52" s="14" t="s">
        <v>212</v>
      </c>
      <c r="E52" s="4" t="s">
        <v>6</v>
      </c>
      <c r="F52" s="4" t="s">
        <v>6</v>
      </c>
      <c r="G52" s="4" t="s">
        <v>6</v>
      </c>
      <c r="H52" s="41">
        <f>SUM(H53:H82)</f>
        <v>0</v>
      </c>
      <c r="I52" s="41">
        <f>SUM(I53:I82)</f>
        <v>0</v>
      </c>
      <c r="J52" s="41">
        <f>SUM(J53:J82)</f>
        <v>0</v>
      </c>
      <c r="K52" s="30"/>
      <c r="L52" s="41">
        <f>SUM(L53:L82)</f>
        <v>1.5153808</v>
      </c>
      <c r="M52" s="30"/>
      <c r="AI52" s="30" t="s">
        <v>95</v>
      </c>
      <c r="AS52" s="41">
        <f>SUM(AJ53:AJ82)</f>
        <v>0</v>
      </c>
      <c r="AT52" s="41">
        <f>SUM(AK53:AK82)</f>
        <v>0</v>
      </c>
      <c r="AU52" s="41">
        <f>SUM(AL53:AL82)</f>
        <v>0</v>
      </c>
    </row>
    <row r="53" spans="1:62" ht="12.75">
      <c r="A53" s="5" t="s">
        <v>26</v>
      </c>
      <c r="B53" s="5" t="s">
        <v>95</v>
      </c>
      <c r="C53" s="5" t="s">
        <v>117</v>
      </c>
      <c r="D53" s="5" t="s">
        <v>213</v>
      </c>
      <c r="E53" s="5" t="s">
        <v>333</v>
      </c>
      <c r="F53" s="20">
        <v>94.54</v>
      </c>
      <c r="G53" s="20">
        <v>0</v>
      </c>
      <c r="H53" s="20">
        <f>F53*AO53</f>
        <v>0</v>
      </c>
      <c r="I53" s="20">
        <f>F53*AP53</f>
        <v>0</v>
      </c>
      <c r="J53" s="20">
        <f>F53*G53</f>
        <v>0</v>
      </c>
      <c r="K53" s="20">
        <v>0</v>
      </c>
      <c r="L53" s="20">
        <f>F53*K53</f>
        <v>0</v>
      </c>
      <c r="M53" s="34" t="s">
        <v>355</v>
      </c>
      <c r="Z53" s="38">
        <f>IF(AQ53="5",BJ53,0)</f>
        <v>0</v>
      </c>
      <c r="AB53" s="38">
        <f>IF(AQ53="1",BH53,0)</f>
        <v>0</v>
      </c>
      <c r="AC53" s="38">
        <f>IF(AQ53="1",BI53,0)</f>
        <v>0</v>
      </c>
      <c r="AD53" s="38">
        <f>IF(AQ53="7",BH53,0)</f>
        <v>0</v>
      </c>
      <c r="AE53" s="38">
        <f>IF(AQ53="7",BI53,0)</f>
        <v>0</v>
      </c>
      <c r="AF53" s="38">
        <f>IF(AQ53="2",BH53,0)</f>
        <v>0</v>
      </c>
      <c r="AG53" s="38">
        <f>IF(AQ53="2",BI53,0)</f>
        <v>0</v>
      </c>
      <c r="AH53" s="38">
        <f>IF(AQ53="0",BJ53,0)</f>
        <v>0</v>
      </c>
      <c r="AI53" s="30" t="s">
        <v>95</v>
      </c>
      <c r="AJ53" s="20">
        <f>IF(AN53=0,J53,0)</f>
        <v>0</v>
      </c>
      <c r="AK53" s="20">
        <f>IF(AN53=15,J53,0)</f>
        <v>0</v>
      </c>
      <c r="AL53" s="20">
        <f>IF(AN53=21,J53,0)</f>
        <v>0</v>
      </c>
      <c r="AN53" s="38">
        <v>21</v>
      </c>
      <c r="AO53" s="38">
        <f>G53*0</f>
        <v>0</v>
      </c>
      <c r="AP53" s="38">
        <f>G53*(1-0)</f>
        <v>0</v>
      </c>
      <c r="AQ53" s="34" t="s">
        <v>7</v>
      </c>
      <c r="AV53" s="38">
        <f>AW53+AX53</f>
        <v>0</v>
      </c>
      <c r="AW53" s="38">
        <f>F53*AO53</f>
        <v>0</v>
      </c>
      <c r="AX53" s="38">
        <f>F53*AP53</f>
        <v>0</v>
      </c>
      <c r="AY53" s="39" t="s">
        <v>370</v>
      </c>
      <c r="AZ53" s="39" t="s">
        <v>381</v>
      </c>
      <c r="BA53" s="30" t="s">
        <v>389</v>
      </c>
      <c r="BC53" s="38">
        <f>AW53+AX53</f>
        <v>0</v>
      </c>
      <c r="BD53" s="38">
        <f>G53/(100-BE53)*100</f>
        <v>0</v>
      </c>
      <c r="BE53" s="38">
        <v>0</v>
      </c>
      <c r="BF53" s="38">
        <f>L53</f>
        <v>0</v>
      </c>
      <c r="BH53" s="20">
        <f>F53*AO53</f>
        <v>0</v>
      </c>
      <c r="BI53" s="20">
        <f>F53*AP53</f>
        <v>0</v>
      </c>
      <c r="BJ53" s="20">
        <f>F53*G53</f>
        <v>0</v>
      </c>
    </row>
    <row r="54" spans="4:6" ht="12.75">
      <c r="D54" s="17" t="s">
        <v>214</v>
      </c>
      <c r="F54" s="21">
        <v>75.68</v>
      </c>
    </row>
    <row r="55" spans="4:6" ht="12.75">
      <c r="D55" s="17" t="s">
        <v>215</v>
      </c>
      <c r="F55" s="21">
        <v>18.86</v>
      </c>
    </row>
    <row r="56" spans="1:62" ht="12.75">
      <c r="A56" s="6" t="s">
        <v>27</v>
      </c>
      <c r="B56" s="6" t="s">
        <v>95</v>
      </c>
      <c r="C56" s="6" t="s">
        <v>118</v>
      </c>
      <c r="D56" s="6" t="s">
        <v>216</v>
      </c>
      <c r="E56" s="6" t="s">
        <v>333</v>
      </c>
      <c r="F56" s="22">
        <v>108.72</v>
      </c>
      <c r="G56" s="22">
        <v>0</v>
      </c>
      <c r="H56" s="22">
        <f>F56*AO56</f>
        <v>0</v>
      </c>
      <c r="I56" s="22">
        <f>F56*AP56</f>
        <v>0</v>
      </c>
      <c r="J56" s="22">
        <f>F56*G56</f>
        <v>0</v>
      </c>
      <c r="K56" s="22">
        <v>0.00046</v>
      </c>
      <c r="L56" s="22">
        <f>F56*K56</f>
        <v>0.0500112</v>
      </c>
      <c r="M56" s="67" t="s">
        <v>356</v>
      </c>
      <c r="Z56" s="38">
        <f>IF(AQ56="5",BJ56,0)</f>
        <v>0</v>
      </c>
      <c r="AB56" s="38">
        <f>IF(AQ56="1",BH56,0)</f>
        <v>0</v>
      </c>
      <c r="AC56" s="38">
        <f>IF(AQ56="1",BI56,0)</f>
        <v>0</v>
      </c>
      <c r="AD56" s="38">
        <f>IF(AQ56="7",BH56,0)</f>
        <v>0</v>
      </c>
      <c r="AE56" s="38">
        <f>IF(AQ56="7",BI56,0)</f>
        <v>0</v>
      </c>
      <c r="AF56" s="38">
        <f>IF(AQ56="2",BH56,0)</f>
        <v>0</v>
      </c>
      <c r="AG56" s="38">
        <f>IF(AQ56="2",BI56,0)</f>
        <v>0</v>
      </c>
      <c r="AH56" s="38">
        <f>IF(AQ56="0",BJ56,0)</f>
        <v>0</v>
      </c>
      <c r="AI56" s="30" t="s">
        <v>95</v>
      </c>
      <c r="AJ56" s="22">
        <f>IF(AN56=0,J56,0)</f>
        <v>0</v>
      </c>
      <c r="AK56" s="22">
        <f>IF(AN56=15,J56,0)</f>
        <v>0</v>
      </c>
      <c r="AL56" s="22">
        <f>IF(AN56=21,J56,0)</f>
        <v>0</v>
      </c>
      <c r="AN56" s="38">
        <v>21</v>
      </c>
      <c r="AO56" s="38">
        <f>G56*1</f>
        <v>0</v>
      </c>
      <c r="AP56" s="38">
        <f>G56*(1-1)</f>
        <v>0</v>
      </c>
      <c r="AQ56" s="35" t="s">
        <v>7</v>
      </c>
      <c r="AV56" s="38">
        <f>AW56+AX56</f>
        <v>0</v>
      </c>
      <c r="AW56" s="38">
        <f>F56*AO56</f>
        <v>0</v>
      </c>
      <c r="AX56" s="38">
        <f>F56*AP56</f>
        <v>0</v>
      </c>
      <c r="AY56" s="39" t="s">
        <v>370</v>
      </c>
      <c r="AZ56" s="39" t="s">
        <v>381</v>
      </c>
      <c r="BA56" s="30" t="s">
        <v>389</v>
      </c>
      <c r="BC56" s="38">
        <f>AW56+AX56</f>
        <v>0</v>
      </c>
      <c r="BD56" s="38">
        <f>G56/(100-BE56)*100</f>
        <v>0</v>
      </c>
      <c r="BE56" s="38">
        <v>0</v>
      </c>
      <c r="BF56" s="38">
        <f>L56</f>
        <v>0.0500112</v>
      </c>
      <c r="BH56" s="22">
        <f>F56*AO56</f>
        <v>0</v>
      </c>
      <c r="BI56" s="22">
        <f>F56*AP56</f>
        <v>0</v>
      </c>
      <c r="BJ56" s="22">
        <f>F56*G56</f>
        <v>0</v>
      </c>
    </row>
    <row r="57" spans="4:6" ht="12.75">
      <c r="D57" s="17" t="s">
        <v>214</v>
      </c>
      <c r="F57" s="21">
        <v>75.68</v>
      </c>
    </row>
    <row r="58" spans="4:6" ht="12.75">
      <c r="D58" s="17" t="s">
        <v>215</v>
      </c>
      <c r="F58" s="21">
        <v>18.86</v>
      </c>
    </row>
    <row r="59" spans="4:6" ht="12.75">
      <c r="D59" s="17" t="s">
        <v>217</v>
      </c>
      <c r="F59" s="21">
        <v>14.18</v>
      </c>
    </row>
    <row r="60" spans="1:62" ht="12.75">
      <c r="A60" s="5" t="s">
        <v>28</v>
      </c>
      <c r="B60" s="5" t="s">
        <v>95</v>
      </c>
      <c r="C60" s="5" t="s">
        <v>119</v>
      </c>
      <c r="D60" s="5" t="s">
        <v>218</v>
      </c>
      <c r="E60" s="5" t="s">
        <v>334</v>
      </c>
      <c r="F60" s="20">
        <v>47.27</v>
      </c>
      <c r="G60" s="20">
        <v>0</v>
      </c>
      <c r="H60" s="20">
        <f>F60*AO60</f>
        <v>0</v>
      </c>
      <c r="I60" s="20">
        <f>F60*AP60</f>
        <v>0</v>
      </c>
      <c r="J60" s="20">
        <f>F60*G60</f>
        <v>0</v>
      </c>
      <c r="K60" s="20">
        <v>0.02205</v>
      </c>
      <c r="L60" s="20">
        <f>F60*K60</f>
        <v>1.0423035</v>
      </c>
      <c r="M60" s="68" t="s">
        <v>356</v>
      </c>
      <c r="Z60" s="38">
        <f>IF(AQ60="5",BJ60,0)</f>
        <v>0</v>
      </c>
      <c r="AB60" s="38">
        <f>IF(AQ60="1",BH60,0)</f>
        <v>0</v>
      </c>
      <c r="AC60" s="38">
        <f>IF(AQ60="1",BI60,0)</f>
        <v>0</v>
      </c>
      <c r="AD60" s="38">
        <f>IF(AQ60="7",BH60,0)</f>
        <v>0</v>
      </c>
      <c r="AE60" s="38">
        <f>IF(AQ60="7",BI60,0)</f>
        <v>0</v>
      </c>
      <c r="AF60" s="38">
        <f>IF(AQ60="2",BH60,0)</f>
        <v>0</v>
      </c>
      <c r="AG60" s="38">
        <f>IF(AQ60="2",BI60,0)</f>
        <v>0</v>
      </c>
      <c r="AH60" s="38">
        <f>IF(AQ60="0",BJ60,0)</f>
        <v>0</v>
      </c>
      <c r="AI60" s="30" t="s">
        <v>95</v>
      </c>
      <c r="AJ60" s="20">
        <f>IF(AN60=0,J60,0)</f>
        <v>0</v>
      </c>
      <c r="AK60" s="20">
        <f>IF(AN60=15,J60,0)</f>
        <v>0</v>
      </c>
      <c r="AL60" s="20">
        <f>IF(AN60=21,J60,0)</f>
        <v>0</v>
      </c>
      <c r="AN60" s="38">
        <v>21</v>
      </c>
      <c r="AO60" s="38">
        <f>G60*0.495917639939173</f>
        <v>0</v>
      </c>
      <c r="AP60" s="38">
        <f>G60*(1-0.495917639939173)</f>
        <v>0</v>
      </c>
      <c r="AQ60" s="34" t="s">
        <v>7</v>
      </c>
      <c r="AV60" s="38">
        <f>AW60+AX60</f>
        <v>0</v>
      </c>
      <c r="AW60" s="38">
        <f>F60*AO60</f>
        <v>0</v>
      </c>
      <c r="AX60" s="38">
        <f>F60*AP60</f>
        <v>0</v>
      </c>
      <c r="AY60" s="39" t="s">
        <v>370</v>
      </c>
      <c r="AZ60" s="39" t="s">
        <v>381</v>
      </c>
      <c r="BA60" s="30" t="s">
        <v>389</v>
      </c>
      <c r="BC60" s="38">
        <f>AW60+AX60</f>
        <v>0</v>
      </c>
      <c r="BD60" s="38">
        <f>G60/(100-BE60)*100</f>
        <v>0</v>
      </c>
      <c r="BE60" s="38">
        <v>0</v>
      </c>
      <c r="BF60" s="38">
        <f>L60</f>
        <v>1.0423035</v>
      </c>
      <c r="BH60" s="20">
        <f>F60*AO60</f>
        <v>0</v>
      </c>
      <c r="BI60" s="20">
        <f>F60*AP60</f>
        <v>0</v>
      </c>
      <c r="BJ60" s="20">
        <f>F60*G60</f>
        <v>0</v>
      </c>
    </row>
    <row r="61" spans="4:6" ht="12.75">
      <c r="D61" s="17" t="s">
        <v>219</v>
      </c>
      <c r="F61" s="21">
        <v>37.84</v>
      </c>
    </row>
    <row r="62" spans="4:6" ht="12.75">
      <c r="D62" s="17" t="s">
        <v>220</v>
      </c>
      <c r="F62" s="21">
        <v>9.43</v>
      </c>
    </row>
    <row r="63" spans="1:62" ht="12.75">
      <c r="A63" s="5" t="s">
        <v>29</v>
      </c>
      <c r="B63" s="5" t="s">
        <v>95</v>
      </c>
      <c r="C63" s="5" t="s">
        <v>120</v>
      </c>
      <c r="D63" s="5" t="s">
        <v>221</v>
      </c>
      <c r="E63" s="5" t="s">
        <v>334</v>
      </c>
      <c r="F63" s="20">
        <v>47.27</v>
      </c>
      <c r="G63" s="20">
        <v>0</v>
      </c>
      <c r="H63" s="20">
        <f>F63*AO63</f>
        <v>0</v>
      </c>
      <c r="I63" s="20">
        <f>F63*AP63</f>
        <v>0</v>
      </c>
      <c r="J63" s="20">
        <f>F63*G63</f>
        <v>0</v>
      </c>
      <c r="K63" s="20">
        <v>0.00651</v>
      </c>
      <c r="L63" s="20">
        <f>F63*K63</f>
        <v>0.30772770000000005</v>
      </c>
      <c r="M63" s="68" t="s">
        <v>356</v>
      </c>
      <c r="Z63" s="38">
        <f>IF(AQ63="5",BJ63,0)</f>
        <v>0</v>
      </c>
      <c r="AB63" s="38">
        <f>IF(AQ63="1",BH63,0)</f>
        <v>0</v>
      </c>
      <c r="AC63" s="38">
        <f>IF(AQ63="1",BI63,0)</f>
        <v>0</v>
      </c>
      <c r="AD63" s="38">
        <f>IF(AQ63="7",BH63,0)</f>
        <v>0</v>
      </c>
      <c r="AE63" s="38">
        <f>IF(AQ63="7",BI63,0)</f>
        <v>0</v>
      </c>
      <c r="AF63" s="38">
        <f>IF(AQ63="2",BH63,0)</f>
        <v>0</v>
      </c>
      <c r="AG63" s="38">
        <f>IF(AQ63="2",BI63,0)</f>
        <v>0</v>
      </c>
      <c r="AH63" s="38">
        <f>IF(AQ63="0",BJ63,0)</f>
        <v>0</v>
      </c>
      <c r="AI63" s="30" t="s">
        <v>95</v>
      </c>
      <c r="AJ63" s="20">
        <f>IF(AN63=0,J63,0)</f>
        <v>0</v>
      </c>
      <c r="AK63" s="20">
        <f>IF(AN63=15,J63,0)</f>
        <v>0</v>
      </c>
      <c r="AL63" s="20">
        <f>IF(AN63=21,J63,0)</f>
        <v>0</v>
      </c>
      <c r="AN63" s="38">
        <v>21</v>
      </c>
      <c r="AO63" s="38">
        <f>G63*0.363562030764716</f>
        <v>0</v>
      </c>
      <c r="AP63" s="38">
        <f>G63*(1-0.363562030764716)</f>
        <v>0</v>
      </c>
      <c r="AQ63" s="34" t="s">
        <v>7</v>
      </c>
      <c r="AV63" s="38">
        <f>AW63+AX63</f>
        <v>0</v>
      </c>
      <c r="AW63" s="38">
        <f>F63*AO63</f>
        <v>0</v>
      </c>
      <c r="AX63" s="38">
        <f>F63*AP63</f>
        <v>0</v>
      </c>
      <c r="AY63" s="39" t="s">
        <v>370</v>
      </c>
      <c r="AZ63" s="39" t="s">
        <v>381</v>
      </c>
      <c r="BA63" s="30" t="s">
        <v>389</v>
      </c>
      <c r="BC63" s="38">
        <f>AW63+AX63</f>
        <v>0</v>
      </c>
      <c r="BD63" s="38">
        <f>G63/(100-BE63)*100</f>
        <v>0</v>
      </c>
      <c r="BE63" s="38">
        <v>0</v>
      </c>
      <c r="BF63" s="38">
        <f>L63</f>
        <v>0.30772770000000005</v>
      </c>
      <c r="BH63" s="20">
        <f>F63*AO63</f>
        <v>0</v>
      </c>
      <c r="BI63" s="20">
        <f>F63*AP63</f>
        <v>0</v>
      </c>
      <c r="BJ63" s="20">
        <f>F63*G63</f>
        <v>0</v>
      </c>
    </row>
    <row r="64" spans="4:6" ht="12.75">
      <c r="D64" s="17" t="s">
        <v>219</v>
      </c>
      <c r="F64" s="21">
        <v>37.84</v>
      </c>
    </row>
    <row r="65" spans="4:6" ht="12.75">
      <c r="D65" s="17" t="s">
        <v>220</v>
      </c>
      <c r="F65" s="21">
        <v>9.43</v>
      </c>
    </row>
    <row r="66" spans="1:62" ht="12.75">
      <c r="A66" s="5" t="s">
        <v>30</v>
      </c>
      <c r="B66" s="5" t="s">
        <v>95</v>
      </c>
      <c r="C66" s="5" t="s">
        <v>121</v>
      </c>
      <c r="D66" s="5" t="s">
        <v>222</v>
      </c>
      <c r="E66" s="5" t="s">
        <v>334</v>
      </c>
      <c r="F66" s="20">
        <v>47.27</v>
      </c>
      <c r="G66" s="20">
        <v>0</v>
      </c>
      <c r="H66" s="20">
        <f>F66*AO66</f>
        <v>0</v>
      </c>
      <c r="I66" s="20">
        <f>F66*AP66</f>
        <v>0</v>
      </c>
      <c r="J66" s="20">
        <f>F66*G66</f>
        <v>0</v>
      </c>
      <c r="K66" s="20">
        <v>0</v>
      </c>
      <c r="L66" s="20">
        <f>F66*K66</f>
        <v>0</v>
      </c>
      <c r="M66" s="34" t="s">
        <v>355</v>
      </c>
      <c r="Z66" s="38">
        <f>IF(AQ66="5",BJ66,0)</f>
        <v>0</v>
      </c>
      <c r="AB66" s="38">
        <f>IF(AQ66="1",BH66,0)</f>
        <v>0</v>
      </c>
      <c r="AC66" s="38">
        <f>IF(AQ66="1",BI66,0)</f>
        <v>0</v>
      </c>
      <c r="AD66" s="38">
        <f>IF(AQ66="7",BH66,0)</f>
        <v>0</v>
      </c>
      <c r="AE66" s="38">
        <f>IF(AQ66="7",BI66,0)</f>
        <v>0</v>
      </c>
      <c r="AF66" s="38">
        <f>IF(AQ66="2",BH66,0)</f>
        <v>0</v>
      </c>
      <c r="AG66" s="38">
        <f>IF(AQ66="2",BI66,0)</f>
        <v>0</v>
      </c>
      <c r="AH66" s="38">
        <f>IF(AQ66="0",BJ66,0)</f>
        <v>0</v>
      </c>
      <c r="AI66" s="30" t="s">
        <v>95</v>
      </c>
      <c r="AJ66" s="20">
        <f>IF(AN66=0,J66,0)</f>
        <v>0</v>
      </c>
      <c r="AK66" s="20">
        <f>IF(AN66=15,J66,0)</f>
        <v>0</v>
      </c>
      <c r="AL66" s="20">
        <f>IF(AN66=21,J66,0)</f>
        <v>0</v>
      </c>
      <c r="AN66" s="38">
        <v>21</v>
      </c>
      <c r="AO66" s="38">
        <f>G66*0</f>
        <v>0</v>
      </c>
      <c r="AP66" s="38">
        <f>G66*(1-0)</f>
        <v>0</v>
      </c>
      <c r="AQ66" s="34" t="s">
        <v>7</v>
      </c>
      <c r="AV66" s="38">
        <f>AW66+AX66</f>
        <v>0</v>
      </c>
      <c r="AW66" s="38">
        <f>F66*AO66</f>
        <v>0</v>
      </c>
      <c r="AX66" s="38">
        <f>F66*AP66</f>
        <v>0</v>
      </c>
      <c r="AY66" s="39" t="s">
        <v>370</v>
      </c>
      <c r="AZ66" s="39" t="s">
        <v>381</v>
      </c>
      <c r="BA66" s="30" t="s">
        <v>389</v>
      </c>
      <c r="BC66" s="38">
        <f>AW66+AX66</f>
        <v>0</v>
      </c>
      <c r="BD66" s="38">
        <f>G66/(100-BE66)*100</f>
        <v>0</v>
      </c>
      <c r="BE66" s="38">
        <v>0</v>
      </c>
      <c r="BF66" s="38">
        <f>L66</f>
        <v>0</v>
      </c>
      <c r="BH66" s="20">
        <f>F66*AO66</f>
        <v>0</v>
      </c>
      <c r="BI66" s="20">
        <f>F66*AP66</f>
        <v>0</v>
      </c>
      <c r="BJ66" s="20">
        <f>F66*G66</f>
        <v>0</v>
      </c>
    </row>
    <row r="67" spans="4:6" ht="12.75">
      <c r="D67" s="17" t="s">
        <v>219</v>
      </c>
      <c r="F67" s="21">
        <v>37.84</v>
      </c>
    </row>
    <row r="68" spans="4:6" ht="12.75">
      <c r="D68" s="17" t="s">
        <v>220</v>
      </c>
      <c r="F68" s="21">
        <v>9.43</v>
      </c>
    </row>
    <row r="69" spans="1:62" ht="12.75">
      <c r="A69" s="5" t="s">
        <v>31</v>
      </c>
      <c r="B69" s="5" t="s">
        <v>95</v>
      </c>
      <c r="C69" s="5" t="s">
        <v>122</v>
      </c>
      <c r="D69" s="5" t="s">
        <v>223</v>
      </c>
      <c r="E69" s="5" t="s">
        <v>334</v>
      </c>
      <c r="F69" s="20">
        <v>94.54</v>
      </c>
      <c r="G69" s="20">
        <v>0</v>
      </c>
      <c r="H69" s="20">
        <f>F69*AO69</f>
        <v>0</v>
      </c>
      <c r="I69" s="20">
        <f>F69*AP69</f>
        <v>0</v>
      </c>
      <c r="J69" s="20">
        <f>F69*G69</f>
        <v>0</v>
      </c>
      <c r="K69" s="20">
        <v>0.0011</v>
      </c>
      <c r="L69" s="20">
        <f>F69*K69</f>
        <v>0.10399400000000002</v>
      </c>
      <c r="M69" s="34" t="s">
        <v>355</v>
      </c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30" t="s">
        <v>95</v>
      </c>
      <c r="AJ69" s="20">
        <f>IF(AN69=0,J69,0)</f>
        <v>0</v>
      </c>
      <c r="AK69" s="20">
        <f>IF(AN69=15,J69,0)</f>
        <v>0</v>
      </c>
      <c r="AL69" s="20">
        <f>IF(AN69=21,J69,0)</f>
        <v>0</v>
      </c>
      <c r="AN69" s="38">
        <v>21</v>
      </c>
      <c r="AO69" s="38">
        <f>G69*0.56151704751243</f>
        <v>0</v>
      </c>
      <c r="AP69" s="38">
        <f>G69*(1-0.56151704751243)</f>
        <v>0</v>
      </c>
      <c r="AQ69" s="34" t="s">
        <v>7</v>
      </c>
      <c r="AV69" s="38">
        <f>AW69+AX69</f>
        <v>0</v>
      </c>
      <c r="AW69" s="38">
        <f>F69*AO69</f>
        <v>0</v>
      </c>
      <c r="AX69" s="38">
        <f>F69*AP69</f>
        <v>0</v>
      </c>
      <c r="AY69" s="39" t="s">
        <v>370</v>
      </c>
      <c r="AZ69" s="39" t="s">
        <v>381</v>
      </c>
      <c r="BA69" s="30" t="s">
        <v>389</v>
      </c>
      <c r="BC69" s="38">
        <f>AW69+AX69</f>
        <v>0</v>
      </c>
      <c r="BD69" s="38">
        <f>G69/(100-BE69)*100</f>
        <v>0</v>
      </c>
      <c r="BE69" s="38">
        <v>0</v>
      </c>
      <c r="BF69" s="38">
        <f>L69</f>
        <v>0.10399400000000002</v>
      </c>
      <c r="BH69" s="20">
        <f>F69*AO69</f>
        <v>0</v>
      </c>
      <c r="BI69" s="20">
        <f>F69*AP69</f>
        <v>0</v>
      </c>
      <c r="BJ69" s="20">
        <f>F69*G69</f>
        <v>0</v>
      </c>
    </row>
    <row r="70" spans="4:6" ht="12.75">
      <c r="D70" s="17" t="s">
        <v>224</v>
      </c>
      <c r="F70" s="21">
        <v>75.68</v>
      </c>
    </row>
    <row r="71" spans="4:6" ht="12.75">
      <c r="D71" s="17" t="s">
        <v>225</v>
      </c>
      <c r="F71" s="21">
        <v>18.86</v>
      </c>
    </row>
    <row r="72" spans="1:62" ht="12.75">
      <c r="A72" s="5" t="s">
        <v>32</v>
      </c>
      <c r="B72" s="5" t="s">
        <v>95</v>
      </c>
      <c r="C72" s="5" t="s">
        <v>123</v>
      </c>
      <c r="D72" s="5" t="s">
        <v>226</v>
      </c>
      <c r="E72" s="5" t="s">
        <v>334</v>
      </c>
      <c r="F72" s="20">
        <v>94.54</v>
      </c>
      <c r="G72" s="20">
        <v>0</v>
      </c>
      <c r="H72" s="20">
        <f>F72*AO72</f>
        <v>0</v>
      </c>
      <c r="I72" s="20">
        <f>F72*AP72</f>
        <v>0</v>
      </c>
      <c r="J72" s="20">
        <f>F72*G72</f>
        <v>0</v>
      </c>
      <c r="K72" s="20">
        <v>0.0001</v>
      </c>
      <c r="L72" s="20">
        <f>F72*K72</f>
        <v>0.009454</v>
      </c>
      <c r="M72" s="34" t="s">
        <v>355</v>
      </c>
      <c r="Z72" s="38">
        <f>IF(AQ72="5",BJ72,0)</f>
        <v>0</v>
      </c>
      <c r="AB72" s="38">
        <f>IF(AQ72="1",BH72,0)</f>
        <v>0</v>
      </c>
      <c r="AC72" s="38">
        <f>IF(AQ72="1",BI72,0)</f>
        <v>0</v>
      </c>
      <c r="AD72" s="38">
        <f>IF(AQ72="7",BH72,0)</f>
        <v>0</v>
      </c>
      <c r="AE72" s="38">
        <f>IF(AQ72="7",BI72,0)</f>
        <v>0</v>
      </c>
      <c r="AF72" s="38">
        <f>IF(AQ72="2",BH72,0)</f>
        <v>0</v>
      </c>
      <c r="AG72" s="38">
        <f>IF(AQ72="2",BI72,0)</f>
        <v>0</v>
      </c>
      <c r="AH72" s="38">
        <f>IF(AQ72="0",BJ72,0)</f>
        <v>0</v>
      </c>
      <c r="AI72" s="30" t="s">
        <v>95</v>
      </c>
      <c r="AJ72" s="20">
        <f>IF(AN72=0,J72,0)</f>
        <v>0</v>
      </c>
      <c r="AK72" s="20">
        <f>IF(AN72=15,J72,0)</f>
        <v>0</v>
      </c>
      <c r="AL72" s="20">
        <f>IF(AN72=21,J72,0)</f>
        <v>0</v>
      </c>
      <c r="AN72" s="38">
        <v>21</v>
      </c>
      <c r="AO72" s="38">
        <f>G72*0.181045048331206</f>
        <v>0</v>
      </c>
      <c r="AP72" s="38">
        <f>G72*(1-0.181045048331206)</f>
        <v>0</v>
      </c>
      <c r="AQ72" s="34" t="s">
        <v>7</v>
      </c>
      <c r="AV72" s="38">
        <f>AW72+AX72</f>
        <v>0</v>
      </c>
      <c r="AW72" s="38">
        <f>F72*AO72</f>
        <v>0</v>
      </c>
      <c r="AX72" s="38">
        <f>F72*AP72</f>
        <v>0</v>
      </c>
      <c r="AY72" s="39" t="s">
        <v>370</v>
      </c>
      <c r="AZ72" s="39" t="s">
        <v>381</v>
      </c>
      <c r="BA72" s="30" t="s">
        <v>389</v>
      </c>
      <c r="BC72" s="38">
        <f>AW72+AX72</f>
        <v>0</v>
      </c>
      <c r="BD72" s="38">
        <f>G72/(100-BE72)*100</f>
        <v>0</v>
      </c>
      <c r="BE72" s="38">
        <v>0</v>
      </c>
      <c r="BF72" s="38">
        <f>L72</f>
        <v>0.009454</v>
      </c>
      <c r="BH72" s="20">
        <f>F72*AO72</f>
        <v>0</v>
      </c>
      <c r="BI72" s="20">
        <f>F72*AP72</f>
        <v>0</v>
      </c>
      <c r="BJ72" s="20">
        <f>F72*G72</f>
        <v>0</v>
      </c>
    </row>
    <row r="73" spans="4:6" ht="12.75">
      <c r="D73" s="17" t="s">
        <v>224</v>
      </c>
      <c r="F73" s="21">
        <v>75.68</v>
      </c>
    </row>
    <row r="74" spans="4:6" ht="12.75">
      <c r="D74" s="17" t="s">
        <v>225</v>
      </c>
      <c r="F74" s="21">
        <v>18.86</v>
      </c>
    </row>
    <row r="75" spans="1:62" ht="12.75">
      <c r="A75" s="5" t="s">
        <v>33</v>
      </c>
      <c r="B75" s="5" t="s">
        <v>95</v>
      </c>
      <c r="C75" s="5" t="s">
        <v>124</v>
      </c>
      <c r="D75" s="5" t="s">
        <v>227</v>
      </c>
      <c r="E75" s="5" t="s">
        <v>334</v>
      </c>
      <c r="F75" s="20">
        <v>47.27</v>
      </c>
      <c r="G75" s="20">
        <v>0</v>
      </c>
      <c r="H75" s="20">
        <f>F75*AO75</f>
        <v>0</v>
      </c>
      <c r="I75" s="20">
        <f>F75*AP75</f>
        <v>0</v>
      </c>
      <c r="J75" s="20">
        <f>F75*G75</f>
        <v>0</v>
      </c>
      <c r="K75" s="20">
        <v>2E-05</v>
      </c>
      <c r="L75" s="20">
        <f>F75*K75</f>
        <v>0.0009454000000000001</v>
      </c>
      <c r="M75" s="34" t="s">
        <v>355</v>
      </c>
      <c r="Z75" s="38">
        <f>IF(AQ75="5",BJ75,0)</f>
        <v>0</v>
      </c>
      <c r="AB75" s="38">
        <f>IF(AQ75="1",BH75,0)</f>
        <v>0</v>
      </c>
      <c r="AC75" s="38">
        <f>IF(AQ75="1",BI75,0)</f>
        <v>0</v>
      </c>
      <c r="AD75" s="38">
        <f>IF(AQ75="7",BH75,0)</f>
        <v>0</v>
      </c>
      <c r="AE75" s="38">
        <f>IF(AQ75="7",BI75,0)</f>
        <v>0</v>
      </c>
      <c r="AF75" s="38">
        <f>IF(AQ75="2",BH75,0)</f>
        <v>0</v>
      </c>
      <c r="AG75" s="38">
        <f>IF(AQ75="2",BI75,0)</f>
        <v>0</v>
      </c>
      <c r="AH75" s="38">
        <f>IF(AQ75="0",BJ75,0)</f>
        <v>0</v>
      </c>
      <c r="AI75" s="30" t="s">
        <v>95</v>
      </c>
      <c r="AJ75" s="20">
        <f>IF(AN75=0,J75,0)</f>
        <v>0</v>
      </c>
      <c r="AK75" s="20">
        <f>IF(AN75=15,J75,0)</f>
        <v>0</v>
      </c>
      <c r="AL75" s="20">
        <f>IF(AN75=21,J75,0)</f>
        <v>0</v>
      </c>
      <c r="AN75" s="38">
        <v>21</v>
      </c>
      <c r="AO75" s="38">
        <f>G75*0.060016460219152</f>
        <v>0</v>
      </c>
      <c r="AP75" s="38">
        <f>G75*(1-0.060016460219152)</f>
        <v>0</v>
      </c>
      <c r="AQ75" s="34" t="s">
        <v>7</v>
      </c>
      <c r="AV75" s="38">
        <f>AW75+AX75</f>
        <v>0</v>
      </c>
      <c r="AW75" s="38">
        <f>F75*AO75</f>
        <v>0</v>
      </c>
      <c r="AX75" s="38">
        <f>F75*AP75</f>
        <v>0</v>
      </c>
      <c r="AY75" s="39" t="s">
        <v>370</v>
      </c>
      <c r="AZ75" s="39" t="s">
        <v>381</v>
      </c>
      <c r="BA75" s="30" t="s">
        <v>389</v>
      </c>
      <c r="BC75" s="38">
        <f>AW75+AX75</f>
        <v>0</v>
      </c>
      <c r="BD75" s="38">
        <f>G75/(100-BE75)*100</f>
        <v>0</v>
      </c>
      <c r="BE75" s="38">
        <v>0</v>
      </c>
      <c r="BF75" s="38">
        <f>L75</f>
        <v>0.0009454000000000001</v>
      </c>
      <c r="BH75" s="20">
        <f>F75*AO75</f>
        <v>0</v>
      </c>
      <c r="BI75" s="20">
        <f>F75*AP75</f>
        <v>0</v>
      </c>
      <c r="BJ75" s="20">
        <f>F75*G75</f>
        <v>0</v>
      </c>
    </row>
    <row r="76" spans="4:6" ht="12.75">
      <c r="D76" s="17" t="s">
        <v>219</v>
      </c>
      <c r="F76" s="21">
        <v>37.84</v>
      </c>
    </row>
    <row r="77" spans="4:6" ht="12.75">
      <c r="D77" s="17" t="s">
        <v>220</v>
      </c>
      <c r="F77" s="21">
        <v>9.43</v>
      </c>
    </row>
    <row r="78" spans="1:62" ht="12.75">
      <c r="A78" s="5" t="s">
        <v>34</v>
      </c>
      <c r="B78" s="5" t="s">
        <v>95</v>
      </c>
      <c r="C78" s="5" t="s">
        <v>125</v>
      </c>
      <c r="D78" s="5" t="s">
        <v>228</v>
      </c>
      <c r="E78" s="5" t="s">
        <v>334</v>
      </c>
      <c r="F78" s="20">
        <v>68.03</v>
      </c>
      <c r="G78" s="20">
        <v>0</v>
      </c>
      <c r="H78" s="20">
        <f>F78*AO78</f>
        <v>0</v>
      </c>
      <c r="I78" s="20">
        <f>F78*AP78</f>
        <v>0</v>
      </c>
      <c r="J78" s="20">
        <f>F78*G78</f>
        <v>0</v>
      </c>
      <c r="K78" s="20">
        <v>0</v>
      </c>
      <c r="L78" s="20">
        <f>F78*K78</f>
        <v>0</v>
      </c>
      <c r="M78" s="68" t="s">
        <v>356</v>
      </c>
      <c r="Z78" s="38">
        <f>IF(AQ78="5",BJ78,0)</f>
        <v>0</v>
      </c>
      <c r="AB78" s="38">
        <f>IF(AQ78="1",BH78,0)</f>
        <v>0</v>
      </c>
      <c r="AC78" s="38">
        <f>IF(AQ78="1",BI78,0)</f>
        <v>0</v>
      </c>
      <c r="AD78" s="38">
        <f>IF(AQ78="7",BH78,0)</f>
        <v>0</v>
      </c>
      <c r="AE78" s="38">
        <f>IF(AQ78="7",BI78,0)</f>
        <v>0</v>
      </c>
      <c r="AF78" s="38">
        <f>IF(AQ78="2",BH78,0)</f>
        <v>0</v>
      </c>
      <c r="AG78" s="38">
        <f>IF(AQ78="2",BI78,0)</f>
        <v>0</v>
      </c>
      <c r="AH78" s="38">
        <f>IF(AQ78="0",BJ78,0)</f>
        <v>0</v>
      </c>
      <c r="AI78" s="30" t="s">
        <v>95</v>
      </c>
      <c r="AJ78" s="20">
        <f>IF(AN78=0,J78,0)</f>
        <v>0</v>
      </c>
      <c r="AK78" s="20">
        <f>IF(AN78=15,J78,0)</f>
        <v>0</v>
      </c>
      <c r="AL78" s="20">
        <f>IF(AN78=21,J78,0)</f>
        <v>0</v>
      </c>
      <c r="AN78" s="38">
        <v>21</v>
      </c>
      <c r="AO78" s="38">
        <f>G78*0.0501307012100527</f>
        <v>0</v>
      </c>
      <c r="AP78" s="38">
        <f>G78*(1-0.0501307012100527)</f>
        <v>0</v>
      </c>
      <c r="AQ78" s="34" t="s">
        <v>8</v>
      </c>
      <c r="AV78" s="38">
        <f>AW78+AX78</f>
        <v>0</v>
      </c>
      <c r="AW78" s="38">
        <f>F78*AO78</f>
        <v>0</v>
      </c>
      <c r="AX78" s="38">
        <f>F78*AP78</f>
        <v>0</v>
      </c>
      <c r="AY78" s="39" t="s">
        <v>370</v>
      </c>
      <c r="AZ78" s="39" t="s">
        <v>381</v>
      </c>
      <c r="BA78" s="30" t="s">
        <v>389</v>
      </c>
      <c r="BC78" s="38">
        <f>AW78+AX78</f>
        <v>0</v>
      </c>
      <c r="BD78" s="38">
        <f>G78/(100-BE78)*100</f>
        <v>0</v>
      </c>
      <c r="BE78" s="38">
        <v>0</v>
      </c>
      <c r="BF78" s="38">
        <f>L78</f>
        <v>0</v>
      </c>
      <c r="BH78" s="20">
        <f>F78*AO78</f>
        <v>0</v>
      </c>
      <c r="BI78" s="20">
        <f>F78*AP78</f>
        <v>0</v>
      </c>
      <c r="BJ78" s="20">
        <f>F78*G78</f>
        <v>0</v>
      </c>
    </row>
    <row r="79" spans="4:6" ht="12.75">
      <c r="D79" s="17" t="s">
        <v>229</v>
      </c>
      <c r="F79" s="21">
        <v>68.03</v>
      </c>
    </row>
    <row r="80" spans="1:62" ht="12.75">
      <c r="A80" s="5" t="s">
        <v>35</v>
      </c>
      <c r="B80" s="5" t="s">
        <v>95</v>
      </c>
      <c r="C80" s="5" t="s">
        <v>126</v>
      </c>
      <c r="D80" s="5" t="s">
        <v>230</v>
      </c>
      <c r="E80" s="5" t="s">
        <v>334</v>
      </c>
      <c r="F80" s="20">
        <v>1.5</v>
      </c>
      <c r="G80" s="20">
        <v>0</v>
      </c>
      <c r="H80" s="20">
        <f>F80*AO80</f>
        <v>0</v>
      </c>
      <c r="I80" s="20">
        <f>F80*AP80</f>
        <v>0</v>
      </c>
      <c r="J80" s="20">
        <f>F80*G80</f>
        <v>0</v>
      </c>
      <c r="K80" s="20">
        <v>0.00063</v>
      </c>
      <c r="L80" s="20">
        <f>F80*K80</f>
        <v>0.0009450000000000001</v>
      </c>
      <c r="M80" s="34" t="s">
        <v>355</v>
      </c>
      <c r="Z80" s="38">
        <f>IF(AQ80="5",BJ80,0)</f>
        <v>0</v>
      </c>
      <c r="AB80" s="38">
        <f>IF(AQ80="1",BH80,0)</f>
        <v>0</v>
      </c>
      <c r="AC80" s="38">
        <f>IF(AQ80="1",BI80,0)</f>
        <v>0</v>
      </c>
      <c r="AD80" s="38">
        <f>IF(AQ80="7",BH80,0)</f>
        <v>0</v>
      </c>
      <c r="AE80" s="38">
        <f>IF(AQ80="7",BI80,0)</f>
        <v>0</v>
      </c>
      <c r="AF80" s="38">
        <f>IF(AQ80="2",BH80,0)</f>
        <v>0</v>
      </c>
      <c r="AG80" s="38">
        <f>IF(AQ80="2",BI80,0)</f>
        <v>0</v>
      </c>
      <c r="AH80" s="38">
        <f>IF(AQ80="0",BJ80,0)</f>
        <v>0</v>
      </c>
      <c r="AI80" s="30" t="s">
        <v>95</v>
      </c>
      <c r="AJ80" s="20">
        <f>IF(AN80=0,J80,0)</f>
        <v>0</v>
      </c>
      <c r="AK80" s="20">
        <f>IF(AN80=15,J80,0)</f>
        <v>0</v>
      </c>
      <c r="AL80" s="20">
        <f>IF(AN80=21,J80,0)</f>
        <v>0</v>
      </c>
      <c r="AN80" s="38">
        <v>21</v>
      </c>
      <c r="AO80" s="38">
        <f>G80*0.436279784780938</f>
        <v>0</v>
      </c>
      <c r="AP80" s="38">
        <f>G80*(1-0.436279784780938)</f>
        <v>0</v>
      </c>
      <c r="AQ80" s="34" t="s">
        <v>7</v>
      </c>
      <c r="AV80" s="38">
        <f>AW80+AX80</f>
        <v>0</v>
      </c>
      <c r="AW80" s="38">
        <f>F80*AO80</f>
        <v>0</v>
      </c>
      <c r="AX80" s="38">
        <f>F80*AP80</f>
        <v>0</v>
      </c>
      <c r="AY80" s="39" t="s">
        <v>370</v>
      </c>
      <c r="AZ80" s="39" t="s">
        <v>381</v>
      </c>
      <c r="BA80" s="30" t="s">
        <v>389</v>
      </c>
      <c r="BC80" s="38">
        <f>AW80+AX80</f>
        <v>0</v>
      </c>
      <c r="BD80" s="38">
        <f>G80/(100-BE80)*100</f>
        <v>0</v>
      </c>
      <c r="BE80" s="38">
        <v>0</v>
      </c>
      <c r="BF80" s="38">
        <f>L80</f>
        <v>0.0009450000000000001</v>
      </c>
      <c r="BH80" s="20">
        <f>F80*AO80</f>
        <v>0</v>
      </c>
      <c r="BI80" s="20">
        <f>F80*AP80</f>
        <v>0</v>
      </c>
      <c r="BJ80" s="20">
        <f>F80*G80</f>
        <v>0</v>
      </c>
    </row>
    <row r="81" spans="4:6" ht="12.75">
      <c r="D81" s="17" t="s">
        <v>231</v>
      </c>
      <c r="F81" s="21">
        <v>1.5</v>
      </c>
    </row>
    <row r="82" spans="1:62" ht="12.75">
      <c r="A82" s="5" t="s">
        <v>36</v>
      </c>
      <c r="B82" s="5" t="s">
        <v>95</v>
      </c>
      <c r="C82" s="5" t="s">
        <v>127</v>
      </c>
      <c r="D82" s="5" t="s">
        <v>232</v>
      </c>
      <c r="E82" s="5" t="s">
        <v>335</v>
      </c>
      <c r="F82" s="20">
        <v>2.81</v>
      </c>
      <c r="G82" s="20">
        <v>0</v>
      </c>
      <c r="H82" s="20">
        <f>F82*AO82</f>
        <v>0</v>
      </c>
      <c r="I82" s="20">
        <f>F82*AP82</f>
        <v>0</v>
      </c>
      <c r="J82" s="20">
        <f>F82*G82</f>
        <v>0</v>
      </c>
      <c r="K82" s="20">
        <v>0</v>
      </c>
      <c r="L82" s="20">
        <f>F82*K82</f>
        <v>0</v>
      </c>
      <c r="M82" s="34" t="s">
        <v>355</v>
      </c>
      <c r="Z82" s="38">
        <f>IF(AQ82="5",BJ82,0)</f>
        <v>0</v>
      </c>
      <c r="AB82" s="38">
        <f>IF(AQ82="1",BH82,0)</f>
        <v>0</v>
      </c>
      <c r="AC82" s="38">
        <f>IF(AQ82="1",BI82,0)</f>
        <v>0</v>
      </c>
      <c r="AD82" s="38">
        <f>IF(AQ82="7",BH82,0)</f>
        <v>0</v>
      </c>
      <c r="AE82" s="38">
        <f>IF(AQ82="7",BI82,0)</f>
        <v>0</v>
      </c>
      <c r="AF82" s="38">
        <f>IF(AQ82="2",BH82,0)</f>
        <v>0</v>
      </c>
      <c r="AG82" s="38">
        <f>IF(AQ82="2",BI82,0)</f>
        <v>0</v>
      </c>
      <c r="AH82" s="38">
        <f>IF(AQ82="0",BJ82,0)</f>
        <v>0</v>
      </c>
      <c r="AI82" s="30" t="s">
        <v>95</v>
      </c>
      <c r="AJ82" s="20">
        <f>IF(AN82=0,J82,0)</f>
        <v>0</v>
      </c>
      <c r="AK82" s="20">
        <f>IF(AN82=15,J82,0)</f>
        <v>0</v>
      </c>
      <c r="AL82" s="20">
        <f>IF(AN82=21,J82,0)</f>
        <v>0</v>
      </c>
      <c r="AN82" s="38">
        <v>21</v>
      </c>
      <c r="AO82" s="38">
        <f>G82*0</f>
        <v>0</v>
      </c>
      <c r="AP82" s="38">
        <f>G82*(1-0)</f>
        <v>0</v>
      </c>
      <c r="AQ82" s="34" t="s">
        <v>11</v>
      </c>
      <c r="AV82" s="38">
        <f>AW82+AX82</f>
        <v>0</v>
      </c>
      <c r="AW82" s="38">
        <f>F82*AO82</f>
        <v>0</v>
      </c>
      <c r="AX82" s="38">
        <f>F82*AP82</f>
        <v>0</v>
      </c>
      <c r="AY82" s="39" t="s">
        <v>370</v>
      </c>
      <c r="AZ82" s="39" t="s">
        <v>381</v>
      </c>
      <c r="BA82" s="30" t="s">
        <v>389</v>
      </c>
      <c r="BC82" s="38">
        <f>AW82+AX82</f>
        <v>0</v>
      </c>
      <c r="BD82" s="38">
        <f>G82/(100-BE82)*100</f>
        <v>0</v>
      </c>
      <c r="BE82" s="38">
        <v>0</v>
      </c>
      <c r="BF82" s="38">
        <f>L82</f>
        <v>0</v>
      </c>
      <c r="BH82" s="20">
        <f>F82*AO82</f>
        <v>0</v>
      </c>
      <c r="BI82" s="20">
        <f>F82*AP82</f>
        <v>0</v>
      </c>
      <c r="BJ82" s="20">
        <f>F82*G82</f>
        <v>0</v>
      </c>
    </row>
    <row r="83" spans="4:6" ht="12.75">
      <c r="D83" s="17" t="s">
        <v>233</v>
      </c>
      <c r="F83" s="21">
        <v>2.81</v>
      </c>
    </row>
    <row r="84" spans="1:47" ht="12.75">
      <c r="A84" s="4"/>
      <c r="B84" s="14" t="s">
        <v>95</v>
      </c>
      <c r="C84" s="14" t="s">
        <v>128</v>
      </c>
      <c r="D84" s="14" t="s">
        <v>234</v>
      </c>
      <c r="E84" s="4" t="s">
        <v>6</v>
      </c>
      <c r="F84" s="4" t="s">
        <v>6</v>
      </c>
      <c r="G84" s="4" t="s">
        <v>6</v>
      </c>
      <c r="H84" s="41">
        <f>SUM(H85:H118)</f>
        <v>0</v>
      </c>
      <c r="I84" s="41">
        <f>SUM(I85:I118)</f>
        <v>0</v>
      </c>
      <c r="J84" s="41">
        <f>SUM(J85:J118)</f>
        <v>0</v>
      </c>
      <c r="K84" s="30"/>
      <c r="L84" s="41">
        <f>SUM(L85:L118)</f>
        <v>0.10586440000000001</v>
      </c>
      <c r="M84" s="30"/>
      <c r="AI84" s="30" t="s">
        <v>95</v>
      </c>
      <c r="AS84" s="41">
        <f>SUM(AJ85:AJ118)</f>
        <v>0</v>
      </c>
      <c r="AT84" s="41">
        <f>SUM(AK85:AK118)</f>
        <v>0</v>
      </c>
      <c r="AU84" s="41">
        <f>SUM(AL85:AL118)</f>
        <v>0</v>
      </c>
    </row>
    <row r="85" spans="1:62" ht="12.75">
      <c r="A85" s="5" t="s">
        <v>37</v>
      </c>
      <c r="B85" s="5" t="s">
        <v>95</v>
      </c>
      <c r="C85" s="5" t="s">
        <v>129</v>
      </c>
      <c r="D85" s="5" t="s">
        <v>235</v>
      </c>
      <c r="E85" s="5" t="s">
        <v>334</v>
      </c>
      <c r="F85" s="20">
        <v>62.18</v>
      </c>
      <c r="G85" s="20">
        <v>0</v>
      </c>
      <c r="H85" s="20">
        <f>F85*AO85</f>
        <v>0</v>
      </c>
      <c r="I85" s="20">
        <f>F85*AP85</f>
        <v>0</v>
      </c>
      <c r="J85" s="20">
        <f>F85*G85</f>
        <v>0</v>
      </c>
      <c r="K85" s="20">
        <v>8E-05</v>
      </c>
      <c r="L85" s="20">
        <f>F85*K85</f>
        <v>0.0049744</v>
      </c>
      <c r="M85" s="34" t="s">
        <v>355</v>
      </c>
      <c r="Z85" s="38">
        <f>IF(AQ85="5",BJ85,0)</f>
        <v>0</v>
      </c>
      <c r="AB85" s="38">
        <f>IF(AQ85="1",BH85,0)</f>
        <v>0</v>
      </c>
      <c r="AC85" s="38">
        <f>IF(AQ85="1",BI85,0)</f>
        <v>0</v>
      </c>
      <c r="AD85" s="38">
        <f>IF(AQ85="7",BH85,0)</f>
        <v>0</v>
      </c>
      <c r="AE85" s="38">
        <f>IF(AQ85="7",BI85,0)</f>
        <v>0</v>
      </c>
      <c r="AF85" s="38">
        <f>IF(AQ85="2",BH85,0)</f>
        <v>0</v>
      </c>
      <c r="AG85" s="38">
        <f>IF(AQ85="2",BI85,0)</f>
        <v>0</v>
      </c>
      <c r="AH85" s="38">
        <f>IF(AQ85="0",BJ85,0)</f>
        <v>0</v>
      </c>
      <c r="AI85" s="30" t="s">
        <v>95</v>
      </c>
      <c r="AJ85" s="20">
        <f>IF(AN85=0,J85,0)</f>
        <v>0</v>
      </c>
      <c r="AK85" s="20">
        <f>IF(AN85=15,J85,0)</f>
        <v>0</v>
      </c>
      <c r="AL85" s="20">
        <f>IF(AN85=21,J85,0)</f>
        <v>0</v>
      </c>
      <c r="AN85" s="38">
        <v>21</v>
      </c>
      <c r="AO85" s="38">
        <f>G85*0.272609399719411</f>
        <v>0</v>
      </c>
      <c r="AP85" s="38">
        <f>G85*(1-0.272609399719411)</f>
        <v>0</v>
      </c>
      <c r="AQ85" s="34" t="s">
        <v>13</v>
      </c>
      <c r="AV85" s="38">
        <f>AW85+AX85</f>
        <v>0</v>
      </c>
      <c r="AW85" s="38">
        <f>F85*AO85</f>
        <v>0</v>
      </c>
      <c r="AX85" s="38">
        <f>F85*AP85</f>
        <v>0</v>
      </c>
      <c r="AY85" s="39" t="s">
        <v>371</v>
      </c>
      <c r="AZ85" s="39" t="s">
        <v>382</v>
      </c>
      <c r="BA85" s="30" t="s">
        <v>389</v>
      </c>
      <c r="BC85" s="38">
        <f>AW85+AX85</f>
        <v>0</v>
      </c>
      <c r="BD85" s="38">
        <f>G85/(100-BE85)*100</f>
        <v>0</v>
      </c>
      <c r="BE85" s="38">
        <v>0</v>
      </c>
      <c r="BF85" s="38">
        <f>L85</f>
        <v>0.0049744</v>
      </c>
      <c r="BH85" s="20">
        <f>F85*AO85</f>
        <v>0</v>
      </c>
      <c r="BI85" s="20">
        <f>F85*AP85</f>
        <v>0</v>
      </c>
      <c r="BJ85" s="20">
        <f>F85*G85</f>
        <v>0</v>
      </c>
    </row>
    <row r="86" spans="4:6" ht="12.75">
      <c r="D86" s="17" t="s">
        <v>236</v>
      </c>
      <c r="F86" s="21">
        <v>8.56</v>
      </c>
    </row>
    <row r="87" spans="4:6" ht="12.75">
      <c r="D87" s="17" t="s">
        <v>237</v>
      </c>
      <c r="F87" s="21">
        <v>8.56</v>
      </c>
    </row>
    <row r="88" spans="4:6" ht="12.75">
      <c r="D88" s="17" t="s">
        <v>238</v>
      </c>
      <c r="F88" s="21">
        <v>22.53</v>
      </c>
    </row>
    <row r="89" spans="4:6" ht="12.75">
      <c r="D89" s="17" t="s">
        <v>239</v>
      </c>
      <c r="F89" s="21">
        <v>22.53</v>
      </c>
    </row>
    <row r="90" spans="1:62" ht="12.75">
      <c r="A90" s="6" t="s">
        <v>38</v>
      </c>
      <c r="B90" s="6" t="s">
        <v>95</v>
      </c>
      <c r="C90" s="6" t="s">
        <v>130</v>
      </c>
      <c r="D90" s="6" t="s">
        <v>240</v>
      </c>
      <c r="E90" s="6" t="s">
        <v>334</v>
      </c>
      <c r="F90" s="22">
        <v>68.4</v>
      </c>
      <c r="G90" s="22">
        <v>0</v>
      </c>
      <c r="H90" s="22">
        <f>F90*AO90</f>
        <v>0</v>
      </c>
      <c r="I90" s="22">
        <f>F90*AP90</f>
        <v>0</v>
      </c>
      <c r="J90" s="22">
        <f>F90*G90</f>
        <v>0</v>
      </c>
      <c r="K90" s="22">
        <v>0.00055</v>
      </c>
      <c r="L90" s="22">
        <f>F90*K90</f>
        <v>0.03762000000000001</v>
      </c>
      <c r="M90" s="35" t="s">
        <v>355</v>
      </c>
      <c r="Z90" s="38">
        <f>IF(AQ90="5",BJ90,0)</f>
        <v>0</v>
      </c>
      <c r="AB90" s="38">
        <f>IF(AQ90="1",BH90,0)</f>
        <v>0</v>
      </c>
      <c r="AC90" s="38">
        <f>IF(AQ90="1",BI90,0)</f>
        <v>0</v>
      </c>
      <c r="AD90" s="38">
        <f>IF(AQ90="7",BH90,0)</f>
        <v>0</v>
      </c>
      <c r="AE90" s="38">
        <f>IF(AQ90="7",BI90,0)</f>
        <v>0</v>
      </c>
      <c r="AF90" s="38">
        <f>IF(AQ90="2",BH90,0)</f>
        <v>0</v>
      </c>
      <c r="AG90" s="38">
        <f>IF(AQ90="2",BI90,0)</f>
        <v>0</v>
      </c>
      <c r="AH90" s="38">
        <f>IF(AQ90="0",BJ90,0)</f>
        <v>0</v>
      </c>
      <c r="AI90" s="30" t="s">
        <v>95</v>
      </c>
      <c r="AJ90" s="22">
        <f>IF(AN90=0,J90,0)</f>
        <v>0</v>
      </c>
      <c r="AK90" s="22">
        <f>IF(AN90=15,J90,0)</f>
        <v>0</v>
      </c>
      <c r="AL90" s="22">
        <f>IF(AN90=21,J90,0)</f>
        <v>0</v>
      </c>
      <c r="AN90" s="38">
        <v>21</v>
      </c>
      <c r="AO90" s="38">
        <f>G90*1</f>
        <v>0</v>
      </c>
      <c r="AP90" s="38">
        <f>G90*(1-1)</f>
        <v>0</v>
      </c>
      <c r="AQ90" s="35" t="s">
        <v>13</v>
      </c>
      <c r="AV90" s="38">
        <f>AW90+AX90</f>
        <v>0</v>
      </c>
      <c r="AW90" s="38">
        <f>F90*AO90</f>
        <v>0</v>
      </c>
      <c r="AX90" s="38">
        <f>F90*AP90</f>
        <v>0</v>
      </c>
      <c r="AY90" s="39" t="s">
        <v>371</v>
      </c>
      <c r="AZ90" s="39" t="s">
        <v>382</v>
      </c>
      <c r="BA90" s="30" t="s">
        <v>389</v>
      </c>
      <c r="BC90" s="38">
        <f>AW90+AX90</f>
        <v>0</v>
      </c>
      <c r="BD90" s="38">
        <f>G90/(100-BE90)*100</f>
        <v>0</v>
      </c>
      <c r="BE90" s="38">
        <v>0</v>
      </c>
      <c r="BF90" s="38">
        <f>L90</f>
        <v>0.03762000000000001</v>
      </c>
      <c r="BH90" s="22">
        <f>F90*AO90</f>
        <v>0</v>
      </c>
      <c r="BI90" s="22">
        <f>F90*AP90</f>
        <v>0</v>
      </c>
      <c r="BJ90" s="22">
        <f>F90*G90</f>
        <v>0</v>
      </c>
    </row>
    <row r="91" spans="4:6" ht="12.75">
      <c r="D91" s="17" t="s">
        <v>236</v>
      </c>
      <c r="F91" s="21">
        <v>8.56</v>
      </c>
    </row>
    <row r="92" spans="4:6" ht="12.75">
      <c r="D92" s="17" t="s">
        <v>237</v>
      </c>
      <c r="F92" s="21">
        <v>8.56</v>
      </c>
    </row>
    <row r="93" spans="4:6" ht="12.75">
      <c r="D93" s="17" t="s">
        <v>238</v>
      </c>
      <c r="F93" s="21">
        <v>22.53</v>
      </c>
    </row>
    <row r="94" spans="4:6" ht="12.75">
      <c r="D94" s="17" t="s">
        <v>239</v>
      </c>
      <c r="F94" s="21">
        <v>22.53</v>
      </c>
    </row>
    <row r="95" spans="4:6" ht="12.75">
      <c r="D95" s="17" t="s">
        <v>241</v>
      </c>
      <c r="F95" s="21">
        <v>6.22</v>
      </c>
    </row>
    <row r="96" spans="1:62" ht="12.75">
      <c r="A96" s="5" t="s">
        <v>39</v>
      </c>
      <c r="B96" s="5" t="s">
        <v>95</v>
      </c>
      <c r="C96" s="5" t="s">
        <v>131</v>
      </c>
      <c r="D96" s="5" t="s">
        <v>242</v>
      </c>
      <c r="E96" s="5" t="s">
        <v>333</v>
      </c>
      <c r="F96" s="20">
        <v>77.72</v>
      </c>
      <c r="G96" s="20">
        <v>0</v>
      </c>
      <c r="H96" s="20">
        <f>F96*AO96</f>
        <v>0</v>
      </c>
      <c r="I96" s="20">
        <f>F96*AP96</f>
        <v>0</v>
      </c>
      <c r="J96" s="20">
        <f>F96*G96</f>
        <v>0</v>
      </c>
      <c r="K96" s="20">
        <v>0</v>
      </c>
      <c r="L96" s="20">
        <f>F96*K96</f>
        <v>0</v>
      </c>
      <c r="M96" s="34" t="s">
        <v>355</v>
      </c>
      <c r="Z96" s="38">
        <f>IF(AQ96="5",BJ96,0)</f>
        <v>0</v>
      </c>
      <c r="AB96" s="38">
        <f>IF(AQ96="1",BH96,0)</f>
        <v>0</v>
      </c>
      <c r="AC96" s="38">
        <f>IF(AQ96="1",BI96,0)</f>
        <v>0</v>
      </c>
      <c r="AD96" s="38">
        <f>IF(AQ96="7",BH96,0)</f>
        <v>0</v>
      </c>
      <c r="AE96" s="38">
        <f>IF(AQ96="7",BI96,0)</f>
        <v>0</v>
      </c>
      <c r="AF96" s="38">
        <f>IF(AQ96="2",BH96,0)</f>
        <v>0</v>
      </c>
      <c r="AG96" s="38">
        <f>IF(AQ96="2",BI96,0)</f>
        <v>0</v>
      </c>
      <c r="AH96" s="38">
        <f>IF(AQ96="0",BJ96,0)</f>
        <v>0</v>
      </c>
      <c r="AI96" s="30" t="s">
        <v>95</v>
      </c>
      <c r="AJ96" s="20">
        <f>IF(AN96=0,J96,0)</f>
        <v>0</v>
      </c>
      <c r="AK96" s="20">
        <f>IF(AN96=15,J96,0)</f>
        <v>0</v>
      </c>
      <c r="AL96" s="20">
        <f>IF(AN96=21,J96,0)</f>
        <v>0</v>
      </c>
      <c r="AN96" s="38">
        <v>21</v>
      </c>
      <c r="AO96" s="38">
        <f>G96*0.43065841749503</f>
        <v>0</v>
      </c>
      <c r="AP96" s="38">
        <f>G96*(1-0.43065841749503)</f>
        <v>0</v>
      </c>
      <c r="AQ96" s="34" t="s">
        <v>13</v>
      </c>
      <c r="AV96" s="38">
        <f>AW96+AX96</f>
        <v>0</v>
      </c>
      <c r="AW96" s="38">
        <f>F96*AO96</f>
        <v>0</v>
      </c>
      <c r="AX96" s="38">
        <f>F96*AP96</f>
        <v>0</v>
      </c>
      <c r="AY96" s="39" t="s">
        <v>371</v>
      </c>
      <c r="AZ96" s="39" t="s">
        <v>382</v>
      </c>
      <c r="BA96" s="30" t="s">
        <v>389</v>
      </c>
      <c r="BC96" s="38">
        <f>AW96+AX96</f>
        <v>0</v>
      </c>
      <c r="BD96" s="38">
        <f>G96/(100-BE96)*100</f>
        <v>0</v>
      </c>
      <c r="BE96" s="38">
        <v>0</v>
      </c>
      <c r="BF96" s="38">
        <f>L96</f>
        <v>0</v>
      </c>
      <c r="BH96" s="20">
        <f>F96*AO96</f>
        <v>0</v>
      </c>
      <c r="BI96" s="20">
        <f>F96*AP96</f>
        <v>0</v>
      </c>
      <c r="BJ96" s="20">
        <f>F96*G96</f>
        <v>0</v>
      </c>
    </row>
    <row r="97" spans="4:6" ht="12.75">
      <c r="D97" s="17" t="s">
        <v>243</v>
      </c>
      <c r="F97" s="21">
        <v>10.7</v>
      </c>
    </row>
    <row r="98" spans="4:6" ht="12.75">
      <c r="D98" s="17" t="s">
        <v>244</v>
      </c>
      <c r="F98" s="21">
        <v>10.7</v>
      </c>
    </row>
    <row r="99" spans="4:6" ht="12.75">
      <c r="D99" s="17" t="s">
        <v>245</v>
      </c>
      <c r="F99" s="21">
        <v>28.16</v>
      </c>
    </row>
    <row r="100" spans="4:6" ht="12.75">
      <c r="D100" s="17" t="s">
        <v>246</v>
      </c>
      <c r="F100" s="21">
        <v>28.16</v>
      </c>
    </row>
    <row r="101" spans="1:62" ht="12.75">
      <c r="A101" s="6" t="s">
        <v>40</v>
      </c>
      <c r="B101" s="6" t="s">
        <v>95</v>
      </c>
      <c r="C101" s="6" t="s">
        <v>132</v>
      </c>
      <c r="D101" s="6" t="s">
        <v>247</v>
      </c>
      <c r="E101" s="6" t="s">
        <v>336</v>
      </c>
      <c r="F101" s="22">
        <v>42.75</v>
      </c>
      <c r="G101" s="22">
        <v>0</v>
      </c>
      <c r="H101" s="22">
        <f>F101*AO101</f>
        <v>0</v>
      </c>
      <c r="I101" s="22">
        <f>F101*AP101</f>
        <v>0</v>
      </c>
      <c r="J101" s="22">
        <f>F101*G101</f>
        <v>0</v>
      </c>
      <c r="K101" s="22">
        <v>0.001</v>
      </c>
      <c r="L101" s="22">
        <f>F101*K101</f>
        <v>0.04275</v>
      </c>
      <c r="M101" s="35" t="s">
        <v>355</v>
      </c>
      <c r="Z101" s="38">
        <f>IF(AQ101="5",BJ101,0)</f>
        <v>0</v>
      </c>
      <c r="AB101" s="38">
        <f>IF(AQ101="1",BH101,0)</f>
        <v>0</v>
      </c>
      <c r="AC101" s="38">
        <f>IF(AQ101="1",BI101,0)</f>
        <v>0</v>
      </c>
      <c r="AD101" s="38">
        <f>IF(AQ101="7",BH101,0)</f>
        <v>0</v>
      </c>
      <c r="AE101" s="38">
        <f>IF(AQ101="7",BI101,0)</f>
        <v>0</v>
      </c>
      <c r="AF101" s="38">
        <f>IF(AQ101="2",BH101,0)</f>
        <v>0</v>
      </c>
      <c r="AG101" s="38">
        <f>IF(AQ101="2",BI101,0)</f>
        <v>0</v>
      </c>
      <c r="AH101" s="38">
        <f>IF(AQ101="0",BJ101,0)</f>
        <v>0</v>
      </c>
      <c r="AI101" s="30" t="s">
        <v>95</v>
      </c>
      <c r="AJ101" s="22">
        <f>IF(AN101=0,J101,0)</f>
        <v>0</v>
      </c>
      <c r="AK101" s="22">
        <f>IF(AN101=15,J101,0)</f>
        <v>0</v>
      </c>
      <c r="AL101" s="22">
        <f>IF(AN101=21,J101,0)</f>
        <v>0</v>
      </c>
      <c r="AN101" s="38">
        <v>21</v>
      </c>
      <c r="AO101" s="38">
        <f>G101*1</f>
        <v>0</v>
      </c>
      <c r="AP101" s="38">
        <f>G101*(1-1)</f>
        <v>0</v>
      </c>
      <c r="AQ101" s="35" t="s">
        <v>13</v>
      </c>
      <c r="AV101" s="38">
        <f>AW101+AX101</f>
        <v>0</v>
      </c>
      <c r="AW101" s="38">
        <f>F101*AO101</f>
        <v>0</v>
      </c>
      <c r="AX101" s="38">
        <f>F101*AP101</f>
        <v>0</v>
      </c>
      <c r="AY101" s="39" t="s">
        <v>371</v>
      </c>
      <c r="AZ101" s="39" t="s">
        <v>382</v>
      </c>
      <c r="BA101" s="30" t="s">
        <v>389</v>
      </c>
      <c r="BC101" s="38">
        <f>AW101+AX101</f>
        <v>0</v>
      </c>
      <c r="BD101" s="38">
        <f>G101/(100-BE101)*100</f>
        <v>0</v>
      </c>
      <c r="BE101" s="38">
        <v>0</v>
      </c>
      <c r="BF101" s="38">
        <f>L101</f>
        <v>0.04275</v>
      </c>
      <c r="BH101" s="22">
        <f>F101*AO101</f>
        <v>0</v>
      </c>
      <c r="BI101" s="22">
        <f>F101*AP101</f>
        <v>0</v>
      </c>
      <c r="BJ101" s="22">
        <f>F101*G101</f>
        <v>0</v>
      </c>
    </row>
    <row r="102" spans="4:6" ht="12.75">
      <c r="D102" s="17" t="s">
        <v>248</v>
      </c>
      <c r="F102" s="21">
        <v>5.35</v>
      </c>
    </row>
    <row r="103" spans="4:6" ht="12.75">
      <c r="D103" s="17" t="s">
        <v>249</v>
      </c>
      <c r="F103" s="21">
        <v>5.35</v>
      </c>
    </row>
    <row r="104" spans="4:6" ht="12.75">
      <c r="D104" s="17" t="s">
        <v>250</v>
      </c>
      <c r="F104" s="21">
        <v>14.08</v>
      </c>
    </row>
    <row r="105" spans="4:6" ht="12.75">
      <c r="D105" s="17" t="s">
        <v>251</v>
      </c>
      <c r="F105" s="21">
        <v>14.08</v>
      </c>
    </row>
    <row r="106" spans="4:6" ht="12.75">
      <c r="D106" s="17" t="s">
        <v>252</v>
      </c>
      <c r="F106" s="21">
        <v>3.89</v>
      </c>
    </row>
    <row r="107" spans="1:62" ht="12.75">
      <c r="A107" s="5" t="s">
        <v>41</v>
      </c>
      <c r="B107" s="5" t="s">
        <v>95</v>
      </c>
      <c r="C107" s="5" t="s">
        <v>133</v>
      </c>
      <c r="D107" s="5" t="s">
        <v>253</v>
      </c>
      <c r="E107" s="5" t="s">
        <v>334</v>
      </c>
      <c r="F107" s="20">
        <v>62.18</v>
      </c>
      <c r="G107" s="20">
        <v>0</v>
      </c>
      <c r="H107" s="20">
        <f>F107*AO107</f>
        <v>0</v>
      </c>
      <c r="I107" s="20">
        <f>F107*AP107</f>
        <v>0</v>
      </c>
      <c r="J107" s="20">
        <f>F107*G107</f>
        <v>0</v>
      </c>
      <c r="K107" s="20">
        <v>0</v>
      </c>
      <c r="L107" s="20">
        <f>F107*K107</f>
        <v>0</v>
      </c>
      <c r="M107" s="34" t="s">
        <v>355</v>
      </c>
      <c r="Z107" s="38">
        <f>IF(AQ107="5",BJ107,0)</f>
        <v>0</v>
      </c>
      <c r="AB107" s="38">
        <f>IF(AQ107="1",BH107,0)</f>
        <v>0</v>
      </c>
      <c r="AC107" s="38">
        <f>IF(AQ107="1",BI107,0)</f>
        <v>0</v>
      </c>
      <c r="AD107" s="38">
        <f>IF(AQ107="7",BH107,0)</f>
        <v>0</v>
      </c>
      <c r="AE107" s="38">
        <f>IF(AQ107="7",BI107,0)</f>
        <v>0</v>
      </c>
      <c r="AF107" s="38">
        <f>IF(AQ107="2",BH107,0)</f>
        <v>0</v>
      </c>
      <c r="AG107" s="38">
        <f>IF(AQ107="2",BI107,0)</f>
        <v>0</v>
      </c>
      <c r="AH107" s="38">
        <f>IF(AQ107="0",BJ107,0)</f>
        <v>0</v>
      </c>
      <c r="AI107" s="30" t="s">
        <v>95</v>
      </c>
      <c r="AJ107" s="20">
        <f>IF(AN107=0,J107,0)</f>
        <v>0</v>
      </c>
      <c r="AK107" s="20">
        <f>IF(AN107=15,J107,0)</f>
        <v>0</v>
      </c>
      <c r="AL107" s="20">
        <f>IF(AN107=21,J107,0)</f>
        <v>0</v>
      </c>
      <c r="AN107" s="38">
        <v>21</v>
      </c>
      <c r="AO107" s="38">
        <f>G107*0</f>
        <v>0</v>
      </c>
      <c r="AP107" s="38">
        <f>G107*(1-0)</f>
        <v>0</v>
      </c>
      <c r="AQ107" s="34" t="s">
        <v>13</v>
      </c>
      <c r="AV107" s="38">
        <f>AW107+AX107</f>
        <v>0</v>
      </c>
      <c r="AW107" s="38">
        <f>F107*AO107</f>
        <v>0</v>
      </c>
      <c r="AX107" s="38">
        <f>F107*AP107</f>
        <v>0</v>
      </c>
      <c r="AY107" s="39" t="s">
        <v>371</v>
      </c>
      <c r="AZ107" s="39" t="s">
        <v>382</v>
      </c>
      <c r="BA107" s="30" t="s">
        <v>389</v>
      </c>
      <c r="BC107" s="38">
        <f>AW107+AX107</f>
        <v>0</v>
      </c>
      <c r="BD107" s="38">
        <f>G107/(100-BE107)*100</f>
        <v>0</v>
      </c>
      <c r="BE107" s="38">
        <v>0</v>
      </c>
      <c r="BF107" s="38">
        <f>L107</f>
        <v>0</v>
      </c>
      <c r="BH107" s="20">
        <f>F107*AO107</f>
        <v>0</v>
      </c>
      <c r="BI107" s="20">
        <f>F107*AP107</f>
        <v>0</v>
      </c>
      <c r="BJ107" s="20">
        <f>F107*G107</f>
        <v>0</v>
      </c>
    </row>
    <row r="108" spans="4:6" ht="12.75">
      <c r="D108" s="17" t="s">
        <v>236</v>
      </c>
      <c r="F108" s="21">
        <v>8.56</v>
      </c>
    </row>
    <row r="109" spans="4:6" ht="12.75">
      <c r="D109" s="17" t="s">
        <v>237</v>
      </c>
      <c r="F109" s="21">
        <v>8.56</v>
      </c>
    </row>
    <row r="110" spans="4:6" ht="12.75">
      <c r="D110" s="17" t="s">
        <v>238</v>
      </c>
      <c r="F110" s="21">
        <v>22.53</v>
      </c>
    </row>
    <row r="111" spans="4:6" ht="12.75">
      <c r="D111" s="17" t="s">
        <v>239</v>
      </c>
      <c r="F111" s="21">
        <v>22.53</v>
      </c>
    </row>
    <row r="112" spans="1:62" ht="12.75">
      <c r="A112" s="6" t="s">
        <v>42</v>
      </c>
      <c r="B112" s="6" t="s">
        <v>95</v>
      </c>
      <c r="C112" s="6" t="s">
        <v>134</v>
      </c>
      <c r="D112" s="6" t="s">
        <v>254</v>
      </c>
      <c r="E112" s="6" t="s">
        <v>334</v>
      </c>
      <c r="F112" s="22">
        <v>68.4</v>
      </c>
      <c r="G112" s="22">
        <v>0</v>
      </c>
      <c r="H112" s="22">
        <f>F112*AO112</f>
        <v>0</v>
      </c>
      <c r="I112" s="22">
        <f>F112*AP112</f>
        <v>0</v>
      </c>
      <c r="J112" s="22">
        <f>F112*G112</f>
        <v>0</v>
      </c>
      <c r="K112" s="22">
        <v>0.0003</v>
      </c>
      <c r="L112" s="22">
        <f>F112*K112</f>
        <v>0.02052</v>
      </c>
      <c r="M112" s="35" t="s">
        <v>355</v>
      </c>
      <c r="Z112" s="38">
        <f>IF(AQ112="5",BJ112,0)</f>
        <v>0</v>
      </c>
      <c r="AB112" s="38">
        <f>IF(AQ112="1",BH112,0)</f>
        <v>0</v>
      </c>
      <c r="AC112" s="38">
        <f>IF(AQ112="1",BI112,0)</f>
        <v>0</v>
      </c>
      <c r="AD112" s="38">
        <f>IF(AQ112="7",BH112,0)</f>
        <v>0</v>
      </c>
      <c r="AE112" s="38">
        <f>IF(AQ112="7",BI112,0)</f>
        <v>0</v>
      </c>
      <c r="AF112" s="38">
        <f>IF(AQ112="2",BH112,0)</f>
        <v>0</v>
      </c>
      <c r="AG112" s="38">
        <f>IF(AQ112="2",BI112,0)</f>
        <v>0</v>
      </c>
      <c r="AH112" s="38">
        <f>IF(AQ112="0",BJ112,0)</f>
        <v>0</v>
      </c>
      <c r="AI112" s="30" t="s">
        <v>95</v>
      </c>
      <c r="AJ112" s="22">
        <f>IF(AN112=0,J112,0)</f>
        <v>0</v>
      </c>
      <c r="AK112" s="22">
        <f>IF(AN112=15,J112,0)</f>
        <v>0</v>
      </c>
      <c r="AL112" s="22">
        <f>IF(AN112=21,J112,0)</f>
        <v>0</v>
      </c>
      <c r="AN112" s="38">
        <v>21</v>
      </c>
      <c r="AO112" s="38">
        <f>G112*1</f>
        <v>0</v>
      </c>
      <c r="AP112" s="38">
        <f>G112*(1-1)</f>
        <v>0</v>
      </c>
      <c r="AQ112" s="35" t="s">
        <v>13</v>
      </c>
      <c r="AV112" s="38">
        <f>AW112+AX112</f>
        <v>0</v>
      </c>
      <c r="AW112" s="38">
        <f>F112*AO112</f>
        <v>0</v>
      </c>
      <c r="AX112" s="38">
        <f>F112*AP112</f>
        <v>0</v>
      </c>
      <c r="AY112" s="39" t="s">
        <v>371</v>
      </c>
      <c r="AZ112" s="39" t="s">
        <v>382</v>
      </c>
      <c r="BA112" s="30" t="s">
        <v>389</v>
      </c>
      <c r="BC112" s="38">
        <f>AW112+AX112</f>
        <v>0</v>
      </c>
      <c r="BD112" s="38">
        <f>G112/(100-BE112)*100</f>
        <v>0</v>
      </c>
      <c r="BE112" s="38">
        <v>0</v>
      </c>
      <c r="BF112" s="38">
        <f>L112</f>
        <v>0.02052</v>
      </c>
      <c r="BH112" s="22">
        <f>F112*AO112</f>
        <v>0</v>
      </c>
      <c r="BI112" s="22">
        <f>F112*AP112</f>
        <v>0</v>
      </c>
      <c r="BJ112" s="22">
        <f>F112*G112</f>
        <v>0</v>
      </c>
    </row>
    <row r="113" spans="4:6" ht="12.75">
      <c r="D113" s="17" t="s">
        <v>236</v>
      </c>
      <c r="F113" s="21">
        <v>8.56</v>
      </c>
    </row>
    <row r="114" spans="4:6" ht="12.75">
      <c r="D114" s="17" t="s">
        <v>237</v>
      </c>
      <c r="F114" s="21">
        <v>8.56</v>
      </c>
    </row>
    <row r="115" spans="4:6" ht="12.75">
      <c r="D115" s="17" t="s">
        <v>238</v>
      </c>
      <c r="F115" s="21">
        <v>22.53</v>
      </c>
    </row>
    <row r="116" spans="4:6" ht="12.75">
      <c r="D116" s="17" t="s">
        <v>239</v>
      </c>
      <c r="F116" s="21">
        <v>22.53</v>
      </c>
    </row>
    <row r="117" spans="4:6" ht="12.75">
      <c r="D117" s="17" t="s">
        <v>241</v>
      </c>
      <c r="F117" s="21">
        <v>6.22</v>
      </c>
    </row>
    <row r="118" spans="1:62" ht="12.75">
      <c r="A118" s="5" t="s">
        <v>43</v>
      </c>
      <c r="B118" s="5" t="s">
        <v>95</v>
      </c>
      <c r="C118" s="5" t="s">
        <v>135</v>
      </c>
      <c r="D118" s="5" t="s">
        <v>255</v>
      </c>
      <c r="E118" s="5" t="s">
        <v>335</v>
      </c>
      <c r="F118" s="20">
        <v>0.06</v>
      </c>
      <c r="G118" s="20">
        <v>0</v>
      </c>
      <c r="H118" s="20">
        <f>F118*AO118</f>
        <v>0</v>
      </c>
      <c r="I118" s="20">
        <f>F118*AP118</f>
        <v>0</v>
      </c>
      <c r="J118" s="20">
        <f>F118*G118</f>
        <v>0</v>
      </c>
      <c r="K118" s="20">
        <v>0</v>
      </c>
      <c r="L118" s="20">
        <f>F118*K118</f>
        <v>0</v>
      </c>
      <c r="M118" s="34" t="s">
        <v>355</v>
      </c>
      <c r="Z118" s="38">
        <f>IF(AQ118="5",BJ118,0)</f>
        <v>0</v>
      </c>
      <c r="AB118" s="38">
        <f>IF(AQ118="1",BH118,0)</f>
        <v>0</v>
      </c>
      <c r="AC118" s="38">
        <f>IF(AQ118="1",BI118,0)</f>
        <v>0</v>
      </c>
      <c r="AD118" s="38">
        <f>IF(AQ118="7",BH118,0)</f>
        <v>0</v>
      </c>
      <c r="AE118" s="38">
        <f>IF(AQ118="7",BI118,0)</f>
        <v>0</v>
      </c>
      <c r="AF118" s="38">
        <f>IF(AQ118="2",BH118,0)</f>
        <v>0</v>
      </c>
      <c r="AG118" s="38">
        <f>IF(AQ118="2",BI118,0)</f>
        <v>0</v>
      </c>
      <c r="AH118" s="38">
        <f>IF(AQ118="0",BJ118,0)</f>
        <v>0</v>
      </c>
      <c r="AI118" s="30" t="s">
        <v>95</v>
      </c>
      <c r="AJ118" s="20">
        <f>IF(AN118=0,J118,0)</f>
        <v>0</v>
      </c>
      <c r="AK118" s="20">
        <f>IF(AN118=15,J118,0)</f>
        <v>0</v>
      </c>
      <c r="AL118" s="20">
        <f>IF(AN118=21,J118,0)</f>
        <v>0</v>
      </c>
      <c r="AN118" s="38">
        <v>21</v>
      </c>
      <c r="AO118" s="38">
        <f>G118*0</f>
        <v>0</v>
      </c>
      <c r="AP118" s="38">
        <f>G118*(1-0)</f>
        <v>0</v>
      </c>
      <c r="AQ118" s="34" t="s">
        <v>11</v>
      </c>
      <c r="AV118" s="38">
        <f>AW118+AX118</f>
        <v>0</v>
      </c>
      <c r="AW118" s="38">
        <f>F118*AO118</f>
        <v>0</v>
      </c>
      <c r="AX118" s="38">
        <f>F118*AP118</f>
        <v>0</v>
      </c>
      <c r="AY118" s="39" t="s">
        <v>371</v>
      </c>
      <c r="AZ118" s="39" t="s">
        <v>382</v>
      </c>
      <c r="BA118" s="30" t="s">
        <v>389</v>
      </c>
      <c r="BC118" s="38">
        <f>AW118+AX118</f>
        <v>0</v>
      </c>
      <c r="BD118" s="38">
        <f>G118/(100-BE118)*100</f>
        <v>0</v>
      </c>
      <c r="BE118" s="38">
        <v>0</v>
      </c>
      <c r="BF118" s="38">
        <f>L118</f>
        <v>0</v>
      </c>
      <c r="BH118" s="20">
        <f>F118*AO118</f>
        <v>0</v>
      </c>
      <c r="BI118" s="20">
        <f>F118*AP118</f>
        <v>0</v>
      </c>
      <c r="BJ118" s="20">
        <f>F118*G118</f>
        <v>0</v>
      </c>
    </row>
    <row r="119" spans="1:47" ht="12.75">
      <c r="A119" s="4"/>
      <c r="B119" s="14" t="s">
        <v>95</v>
      </c>
      <c r="C119" s="14" t="s">
        <v>136</v>
      </c>
      <c r="D119" s="14" t="s">
        <v>256</v>
      </c>
      <c r="E119" s="4" t="s">
        <v>6</v>
      </c>
      <c r="F119" s="4" t="s">
        <v>6</v>
      </c>
      <c r="G119" s="4" t="s">
        <v>6</v>
      </c>
      <c r="H119" s="41">
        <f>SUM(H120:H134)</f>
        <v>0</v>
      </c>
      <c r="I119" s="41">
        <f>SUM(I120:I134)</f>
        <v>0</v>
      </c>
      <c r="J119" s="41">
        <f>SUM(J120:J134)</f>
        <v>0</v>
      </c>
      <c r="K119" s="30"/>
      <c r="L119" s="41">
        <f>SUM(L120:L134)</f>
        <v>0.061101</v>
      </c>
      <c r="M119" s="30"/>
      <c r="AI119" s="30" t="s">
        <v>95</v>
      </c>
      <c r="AS119" s="41">
        <f>SUM(AJ120:AJ134)</f>
        <v>0</v>
      </c>
      <c r="AT119" s="41">
        <f>SUM(AK120:AK134)</f>
        <v>0</v>
      </c>
      <c r="AU119" s="41">
        <f>SUM(AL120:AL134)</f>
        <v>0</v>
      </c>
    </row>
    <row r="120" spans="1:62" ht="12.75">
      <c r="A120" s="5" t="s">
        <v>44</v>
      </c>
      <c r="B120" s="5" t="s">
        <v>95</v>
      </c>
      <c r="C120" s="5" t="s">
        <v>137</v>
      </c>
      <c r="D120" s="5" t="s">
        <v>257</v>
      </c>
      <c r="E120" s="5" t="s">
        <v>333</v>
      </c>
      <c r="F120" s="20">
        <v>9</v>
      </c>
      <c r="G120" s="20">
        <v>0</v>
      </c>
      <c r="H120" s="20">
        <f>F120*AO120</f>
        <v>0</v>
      </c>
      <c r="I120" s="20">
        <f>F120*AP120</f>
        <v>0</v>
      </c>
      <c r="J120" s="20">
        <f>F120*G120</f>
        <v>0</v>
      </c>
      <c r="K120" s="20">
        <v>0.00285</v>
      </c>
      <c r="L120" s="20">
        <f>F120*K120</f>
        <v>0.02565</v>
      </c>
      <c r="M120" s="34" t="s">
        <v>355</v>
      </c>
      <c r="Z120" s="38">
        <f>IF(AQ120="5",BJ120,0)</f>
        <v>0</v>
      </c>
      <c r="AB120" s="38">
        <f>IF(AQ120="1",BH120,0)</f>
        <v>0</v>
      </c>
      <c r="AC120" s="38">
        <f>IF(AQ120="1",BI120,0)</f>
        <v>0</v>
      </c>
      <c r="AD120" s="38">
        <f>IF(AQ120="7",BH120,0)</f>
        <v>0</v>
      </c>
      <c r="AE120" s="38">
        <f>IF(AQ120="7",BI120,0)</f>
        <v>0</v>
      </c>
      <c r="AF120" s="38">
        <f>IF(AQ120="2",BH120,0)</f>
        <v>0</v>
      </c>
      <c r="AG120" s="38">
        <f>IF(AQ120="2",BI120,0)</f>
        <v>0</v>
      </c>
      <c r="AH120" s="38">
        <f>IF(AQ120="0",BJ120,0)</f>
        <v>0</v>
      </c>
      <c r="AI120" s="30" t="s">
        <v>95</v>
      </c>
      <c r="AJ120" s="20">
        <f>IF(AN120=0,J120,0)</f>
        <v>0</v>
      </c>
      <c r="AK120" s="20">
        <f>IF(AN120=15,J120,0)</f>
        <v>0</v>
      </c>
      <c r="AL120" s="20">
        <f>IF(AN120=21,J120,0)</f>
        <v>0</v>
      </c>
      <c r="AN120" s="38">
        <v>21</v>
      </c>
      <c r="AO120" s="38">
        <f>G120*0</f>
        <v>0</v>
      </c>
      <c r="AP120" s="38">
        <f>G120*(1-0)</f>
        <v>0</v>
      </c>
      <c r="AQ120" s="34" t="s">
        <v>13</v>
      </c>
      <c r="AV120" s="38">
        <f>AW120+AX120</f>
        <v>0</v>
      </c>
      <c r="AW120" s="38">
        <f>F120*AO120</f>
        <v>0</v>
      </c>
      <c r="AX120" s="38">
        <f>F120*AP120</f>
        <v>0</v>
      </c>
      <c r="AY120" s="39" t="s">
        <v>372</v>
      </c>
      <c r="AZ120" s="39" t="s">
        <v>383</v>
      </c>
      <c r="BA120" s="30" t="s">
        <v>389</v>
      </c>
      <c r="BC120" s="38">
        <f>AW120+AX120</f>
        <v>0</v>
      </c>
      <c r="BD120" s="38">
        <f>G120/(100-BE120)*100</f>
        <v>0</v>
      </c>
      <c r="BE120" s="38">
        <v>0</v>
      </c>
      <c r="BF120" s="38">
        <f>L120</f>
        <v>0.02565</v>
      </c>
      <c r="BH120" s="20">
        <f>F120*AO120</f>
        <v>0</v>
      </c>
      <c r="BI120" s="20">
        <f>F120*AP120</f>
        <v>0</v>
      </c>
      <c r="BJ120" s="20">
        <f>F120*G120</f>
        <v>0</v>
      </c>
    </row>
    <row r="121" spans="4:6" ht="12.75">
      <c r="D121" s="17" t="s">
        <v>258</v>
      </c>
      <c r="F121" s="21">
        <v>9</v>
      </c>
    </row>
    <row r="122" spans="1:62" ht="12.75">
      <c r="A122" s="5" t="s">
        <v>45</v>
      </c>
      <c r="B122" s="5" t="s">
        <v>95</v>
      </c>
      <c r="C122" s="5" t="s">
        <v>138</v>
      </c>
      <c r="D122" s="5" t="s">
        <v>259</v>
      </c>
      <c r="E122" s="5" t="s">
        <v>333</v>
      </c>
      <c r="F122" s="20">
        <v>9</v>
      </c>
      <c r="G122" s="20">
        <v>0</v>
      </c>
      <c r="H122" s="20">
        <f>F122*AO122</f>
        <v>0</v>
      </c>
      <c r="I122" s="20">
        <f>F122*AP122</f>
        <v>0</v>
      </c>
      <c r="J122" s="20">
        <f>F122*G122</f>
        <v>0</v>
      </c>
      <c r="K122" s="20">
        <v>6E-05</v>
      </c>
      <c r="L122" s="20">
        <f>F122*K122</f>
        <v>0.00054</v>
      </c>
      <c r="M122" s="34" t="s">
        <v>355</v>
      </c>
      <c r="Z122" s="38">
        <f>IF(AQ122="5",BJ122,0)</f>
        <v>0</v>
      </c>
      <c r="AB122" s="38">
        <f>IF(AQ122="1",BH122,0)</f>
        <v>0</v>
      </c>
      <c r="AC122" s="38">
        <f>IF(AQ122="1",BI122,0)</f>
        <v>0</v>
      </c>
      <c r="AD122" s="38">
        <f>IF(AQ122="7",BH122,0)</f>
        <v>0</v>
      </c>
      <c r="AE122" s="38">
        <f>IF(AQ122="7",BI122,0)</f>
        <v>0</v>
      </c>
      <c r="AF122" s="38">
        <f>IF(AQ122="2",BH122,0)</f>
        <v>0</v>
      </c>
      <c r="AG122" s="38">
        <f>IF(AQ122="2",BI122,0)</f>
        <v>0</v>
      </c>
      <c r="AH122" s="38">
        <f>IF(AQ122="0",BJ122,0)</f>
        <v>0</v>
      </c>
      <c r="AI122" s="30" t="s">
        <v>95</v>
      </c>
      <c r="AJ122" s="20">
        <f>IF(AN122=0,J122,0)</f>
        <v>0</v>
      </c>
      <c r="AK122" s="20">
        <f>IF(AN122=15,J122,0)</f>
        <v>0</v>
      </c>
      <c r="AL122" s="20">
        <f>IF(AN122=21,J122,0)</f>
        <v>0</v>
      </c>
      <c r="AN122" s="38">
        <v>21</v>
      </c>
      <c r="AO122" s="38">
        <f>G122*0.119373040752351</f>
        <v>0</v>
      </c>
      <c r="AP122" s="38">
        <f>G122*(1-0.119373040752351)</f>
        <v>0</v>
      </c>
      <c r="AQ122" s="34" t="s">
        <v>13</v>
      </c>
      <c r="AV122" s="38">
        <f>AW122+AX122</f>
        <v>0</v>
      </c>
      <c r="AW122" s="38">
        <f>F122*AO122</f>
        <v>0</v>
      </c>
      <c r="AX122" s="38">
        <f>F122*AP122</f>
        <v>0</v>
      </c>
      <c r="AY122" s="39" t="s">
        <v>372</v>
      </c>
      <c r="AZ122" s="39" t="s">
        <v>383</v>
      </c>
      <c r="BA122" s="30" t="s">
        <v>389</v>
      </c>
      <c r="BC122" s="38">
        <f>AW122+AX122</f>
        <v>0</v>
      </c>
      <c r="BD122" s="38">
        <f>G122/(100-BE122)*100</f>
        <v>0</v>
      </c>
      <c r="BE122" s="38">
        <v>0</v>
      </c>
      <c r="BF122" s="38">
        <f>L122</f>
        <v>0.00054</v>
      </c>
      <c r="BH122" s="20">
        <f>F122*AO122</f>
        <v>0</v>
      </c>
      <c r="BI122" s="20">
        <f>F122*AP122</f>
        <v>0</v>
      </c>
      <c r="BJ122" s="20">
        <f>F122*G122</f>
        <v>0</v>
      </c>
    </row>
    <row r="123" spans="4:6" ht="12.75">
      <c r="D123" s="17" t="s">
        <v>258</v>
      </c>
      <c r="F123" s="21">
        <v>9</v>
      </c>
    </row>
    <row r="124" spans="1:62" ht="12.75">
      <c r="A124" s="5" t="s">
        <v>46</v>
      </c>
      <c r="B124" s="5" t="s">
        <v>95</v>
      </c>
      <c r="C124" s="5" t="s">
        <v>139</v>
      </c>
      <c r="D124" s="5" t="s">
        <v>260</v>
      </c>
      <c r="E124" s="5" t="s">
        <v>333</v>
      </c>
      <c r="F124" s="20">
        <v>5.2</v>
      </c>
      <c r="G124" s="20">
        <v>0</v>
      </c>
      <c r="H124" s="20">
        <f>F124*AO124</f>
        <v>0</v>
      </c>
      <c r="I124" s="20">
        <f>F124*AP124</f>
        <v>0</v>
      </c>
      <c r="J124" s="20">
        <f>F124*G124</f>
        <v>0</v>
      </c>
      <c r="K124" s="20">
        <v>0.00175</v>
      </c>
      <c r="L124" s="20">
        <f>F124*K124</f>
        <v>0.0091</v>
      </c>
      <c r="M124" s="34" t="s">
        <v>355</v>
      </c>
      <c r="Z124" s="38">
        <f>IF(AQ124="5",BJ124,0)</f>
        <v>0</v>
      </c>
      <c r="AB124" s="38">
        <f>IF(AQ124="1",BH124,0)</f>
        <v>0</v>
      </c>
      <c r="AC124" s="38">
        <f>IF(AQ124="1",BI124,0)</f>
        <v>0</v>
      </c>
      <c r="AD124" s="38">
        <f>IF(AQ124="7",BH124,0)</f>
        <v>0</v>
      </c>
      <c r="AE124" s="38">
        <f>IF(AQ124="7",BI124,0)</f>
        <v>0</v>
      </c>
      <c r="AF124" s="38">
        <f>IF(AQ124="2",BH124,0)</f>
        <v>0</v>
      </c>
      <c r="AG124" s="38">
        <f>IF(AQ124="2",BI124,0)</f>
        <v>0</v>
      </c>
      <c r="AH124" s="38">
        <f>IF(AQ124="0",BJ124,0)</f>
        <v>0</v>
      </c>
      <c r="AI124" s="30" t="s">
        <v>95</v>
      </c>
      <c r="AJ124" s="20">
        <f>IF(AN124=0,J124,0)</f>
        <v>0</v>
      </c>
      <c r="AK124" s="20">
        <f>IF(AN124=15,J124,0)</f>
        <v>0</v>
      </c>
      <c r="AL124" s="20">
        <f>IF(AN124=21,J124,0)</f>
        <v>0</v>
      </c>
      <c r="AN124" s="38">
        <v>21</v>
      </c>
      <c r="AO124" s="38">
        <f>G124*0</f>
        <v>0</v>
      </c>
      <c r="AP124" s="38">
        <f>G124*(1-0)</f>
        <v>0</v>
      </c>
      <c r="AQ124" s="34" t="s">
        <v>13</v>
      </c>
      <c r="AV124" s="38">
        <f>AW124+AX124</f>
        <v>0</v>
      </c>
      <c r="AW124" s="38">
        <f>F124*AO124</f>
        <v>0</v>
      </c>
      <c r="AX124" s="38">
        <f>F124*AP124</f>
        <v>0</v>
      </c>
      <c r="AY124" s="39" t="s">
        <v>372</v>
      </c>
      <c r="AZ124" s="39" t="s">
        <v>383</v>
      </c>
      <c r="BA124" s="30" t="s">
        <v>389</v>
      </c>
      <c r="BC124" s="38">
        <f>AW124+AX124</f>
        <v>0</v>
      </c>
      <c r="BD124" s="38">
        <f>G124/(100-BE124)*100</f>
        <v>0</v>
      </c>
      <c r="BE124" s="38">
        <v>0</v>
      </c>
      <c r="BF124" s="38">
        <f>L124</f>
        <v>0.0091</v>
      </c>
      <c r="BH124" s="20">
        <f>F124*AO124</f>
        <v>0</v>
      </c>
      <c r="BI124" s="20">
        <f>F124*AP124</f>
        <v>0</v>
      </c>
      <c r="BJ124" s="20">
        <f>F124*G124</f>
        <v>0</v>
      </c>
    </row>
    <row r="125" spans="4:6" ht="12.75">
      <c r="D125" s="17" t="s">
        <v>261</v>
      </c>
      <c r="F125" s="21">
        <v>5.2</v>
      </c>
    </row>
    <row r="126" spans="1:62" ht="12.75">
      <c r="A126" s="6" t="s">
        <v>47</v>
      </c>
      <c r="B126" s="6" t="s">
        <v>95</v>
      </c>
      <c r="C126" s="6" t="s">
        <v>140</v>
      </c>
      <c r="D126" s="6" t="s">
        <v>262</v>
      </c>
      <c r="E126" s="6" t="s">
        <v>333</v>
      </c>
      <c r="F126" s="22">
        <v>9</v>
      </c>
      <c r="G126" s="22">
        <v>0</v>
      </c>
      <c r="H126" s="22">
        <f>F126*AO126</f>
        <v>0</v>
      </c>
      <c r="I126" s="22">
        <f>F126*AP126</f>
        <v>0</v>
      </c>
      <c r="J126" s="22">
        <f>F126*G126</f>
        <v>0</v>
      </c>
      <c r="K126" s="22">
        <v>0.00048</v>
      </c>
      <c r="L126" s="22">
        <f>F126*K126</f>
        <v>0.00432</v>
      </c>
      <c r="M126" s="67" t="s">
        <v>356</v>
      </c>
      <c r="Z126" s="38">
        <f>IF(AQ126="5",BJ126,0)</f>
        <v>0</v>
      </c>
      <c r="AB126" s="38">
        <f>IF(AQ126="1",BH126,0)</f>
        <v>0</v>
      </c>
      <c r="AC126" s="38">
        <f>IF(AQ126="1",BI126,0)</f>
        <v>0</v>
      </c>
      <c r="AD126" s="38">
        <f>IF(AQ126="7",BH126,0)</f>
        <v>0</v>
      </c>
      <c r="AE126" s="38">
        <f>IF(AQ126="7",BI126,0)</f>
        <v>0</v>
      </c>
      <c r="AF126" s="38">
        <f>IF(AQ126="2",BH126,0)</f>
        <v>0</v>
      </c>
      <c r="AG126" s="38">
        <f>IF(AQ126="2",BI126,0)</f>
        <v>0</v>
      </c>
      <c r="AH126" s="38">
        <f>IF(AQ126="0",BJ126,0)</f>
        <v>0</v>
      </c>
      <c r="AI126" s="30" t="s">
        <v>95</v>
      </c>
      <c r="AJ126" s="22">
        <f>IF(AN126=0,J126,0)</f>
        <v>0</v>
      </c>
      <c r="AK126" s="22">
        <f>IF(AN126=15,J126,0)</f>
        <v>0</v>
      </c>
      <c r="AL126" s="22">
        <f>IF(AN126=21,J126,0)</f>
        <v>0</v>
      </c>
      <c r="AN126" s="38">
        <v>21</v>
      </c>
      <c r="AO126" s="38">
        <f>G126*1</f>
        <v>0</v>
      </c>
      <c r="AP126" s="38">
        <f>G126*(1-1)</f>
        <v>0</v>
      </c>
      <c r="AQ126" s="35" t="s">
        <v>13</v>
      </c>
      <c r="AV126" s="38">
        <f>AW126+AX126</f>
        <v>0</v>
      </c>
      <c r="AW126" s="38">
        <f>F126*AO126</f>
        <v>0</v>
      </c>
      <c r="AX126" s="38">
        <f>F126*AP126</f>
        <v>0</v>
      </c>
      <c r="AY126" s="39" t="s">
        <v>372</v>
      </c>
      <c r="AZ126" s="39" t="s">
        <v>383</v>
      </c>
      <c r="BA126" s="30" t="s">
        <v>389</v>
      </c>
      <c r="BC126" s="38">
        <f>AW126+AX126</f>
        <v>0</v>
      </c>
      <c r="BD126" s="38">
        <f>G126/(100-BE126)*100</f>
        <v>0</v>
      </c>
      <c r="BE126" s="38">
        <v>0</v>
      </c>
      <c r="BF126" s="38">
        <f>L126</f>
        <v>0.00432</v>
      </c>
      <c r="BH126" s="22">
        <f>F126*AO126</f>
        <v>0</v>
      </c>
      <c r="BI126" s="22">
        <f>F126*AP126</f>
        <v>0</v>
      </c>
      <c r="BJ126" s="22">
        <f>F126*G126</f>
        <v>0</v>
      </c>
    </row>
    <row r="127" spans="4:6" ht="12.75">
      <c r="D127" s="17" t="s">
        <v>258</v>
      </c>
      <c r="F127" s="21">
        <v>9</v>
      </c>
    </row>
    <row r="128" spans="1:62" ht="12.75">
      <c r="A128" s="5" t="s">
        <v>48</v>
      </c>
      <c r="B128" s="5" t="s">
        <v>95</v>
      </c>
      <c r="C128" s="5" t="s">
        <v>141</v>
      </c>
      <c r="D128" s="5" t="s">
        <v>263</v>
      </c>
      <c r="E128" s="5" t="s">
        <v>333</v>
      </c>
      <c r="F128" s="20">
        <v>5.2</v>
      </c>
      <c r="G128" s="20">
        <v>0</v>
      </c>
      <c r="H128" s="20">
        <f>F128*AO128</f>
        <v>0</v>
      </c>
      <c r="I128" s="20">
        <f>F128*AP128</f>
        <v>0</v>
      </c>
      <c r="J128" s="20">
        <f>F128*G128</f>
        <v>0</v>
      </c>
      <c r="K128" s="20">
        <v>0.00254</v>
      </c>
      <c r="L128" s="20">
        <f>F128*K128</f>
        <v>0.013208000000000001</v>
      </c>
      <c r="M128" s="34" t="s">
        <v>355</v>
      </c>
      <c r="Z128" s="38">
        <f>IF(AQ128="5",BJ128,0)</f>
        <v>0</v>
      </c>
      <c r="AB128" s="38">
        <f>IF(AQ128="1",BH128,0)</f>
        <v>0</v>
      </c>
      <c r="AC128" s="38">
        <f>IF(AQ128="1",BI128,0)</f>
        <v>0</v>
      </c>
      <c r="AD128" s="38">
        <f>IF(AQ128="7",BH128,0)</f>
        <v>0</v>
      </c>
      <c r="AE128" s="38">
        <f>IF(AQ128="7",BI128,0)</f>
        <v>0</v>
      </c>
      <c r="AF128" s="38">
        <f>IF(AQ128="2",BH128,0)</f>
        <v>0</v>
      </c>
      <c r="AG128" s="38">
        <f>IF(AQ128="2",BI128,0)</f>
        <v>0</v>
      </c>
      <c r="AH128" s="38">
        <f>IF(AQ128="0",BJ128,0)</f>
        <v>0</v>
      </c>
      <c r="AI128" s="30" t="s">
        <v>95</v>
      </c>
      <c r="AJ128" s="20">
        <f>IF(AN128=0,J128,0)</f>
        <v>0</v>
      </c>
      <c r="AK128" s="20">
        <f>IF(AN128=15,J128,0)</f>
        <v>0</v>
      </c>
      <c r="AL128" s="20">
        <f>IF(AN128=21,J128,0)</f>
        <v>0</v>
      </c>
      <c r="AN128" s="38">
        <v>21</v>
      </c>
      <c r="AO128" s="38">
        <f>G128*0.335893617021277</f>
        <v>0</v>
      </c>
      <c r="AP128" s="38">
        <f>G128*(1-0.335893617021277)</f>
        <v>0</v>
      </c>
      <c r="AQ128" s="34" t="s">
        <v>13</v>
      </c>
      <c r="AV128" s="38">
        <f>AW128+AX128</f>
        <v>0</v>
      </c>
      <c r="AW128" s="38">
        <f>F128*AO128</f>
        <v>0</v>
      </c>
      <c r="AX128" s="38">
        <f>F128*AP128</f>
        <v>0</v>
      </c>
      <c r="AY128" s="39" t="s">
        <v>372</v>
      </c>
      <c r="AZ128" s="39" t="s">
        <v>383</v>
      </c>
      <c r="BA128" s="30" t="s">
        <v>389</v>
      </c>
      <c r="BC128" s="38">
        <f>AW128+AX128</f>
        <v>0</v>
      </c>
      <c r="BD128" s="38">
        <f>G128/(100-BE128)*100</f>
        <v>0</v>
      </c>
      <c r="BE128" s="38">
        <v>0</v>
      </c>
      <c r="BF128" s="38">
        <f>L128</f>
        <v>0.013208000000000001</v>
      </c>
      <c r="BH128" s="20">
        <f>F128*AO128</f>
        <v>0</v>
      </c>
      <c r="BI128" s="20">
        <f>F128*AP128</f>
        <v>0</v>
      </c>
      <c r="BJ128" s="20">
        <f>F128*G128</f>
        <v>0</v>
      </c>
    </row>
    <row r="129" spans="4:6" ht="12.75">
      <c r="D129" s="17" t="s">
        <v>261</v>
      </c>
      <c r="F129" s="21">
        <v>5.2</v>
      </c>
    </row>
    <row r="130" spans="1:62" ht="12.75">
      <c r="A130" s="5" t="s">
        <v>49</v>
      </c>
      <c r="B130" s="5" t="s">
        <v>95</v>
      </c>
      <c r="C130" s="5" t="s">
        <v>142</v>
      </c>
      <c r="D130" s="5" t="s">
        <v>264</v>
      </c>
      <c r="E130" s="5" t="s">
        <v>333</v>
      </c>
      <c r="F130" s="20">
        <v>3.3</v>
      </c>
      <c r="G130" s="20">
        <v>0</v>
      </c>
      <c r="H130" s="20">
        <f>F130*AO130</f>
        <v>0</v>
      </c>
      <c r="I130" s="20">
        <f>F130*AP130</f>
        <v>0</v>
      </c>
      <c r="J130" s="20">
        <f>F130*G130</f>
        <v>0</v>
      </c>
      <c r="K130" s="20">
        <v>0.00135</v>
      </c>
      <c r="L130" s="20">
        <f>F130*K130</f>
        <v>0.004455</v>
      </c>
      <c r="M130" s="34" t="s">
        <v>355</v>
      </c>
      <c r="Z130" s="38">
        <f>IF(AQ130="5",BJ130,0)</f>
        <v>0</v>
      </c>
      <c r="AB130" s="38">
        <f>IF(AQ130="1",BH130,0)</f>
        <v>0</v>
      </c>
      <c r="AC130" s="38">
        <f>IF(AQ130="1",BI130,0)</f>
        <v>0</v>
      </c>
      <c r="AD130" s="38">
        <f>IF(AQ130="7",BH130,0)</f>
        <v>0</v>
      </c>
      <c r="AE130" s="38">
        <f>IF(AQ130="7",BI130,0)</f>
        <v>0</v>
      </c>
      <c r="AF130" s="38">
        <f>IF(AQ130="2",BH130,0)</f>
        <v>0</v>
      </c>
      <c r="AG130" s="38">
        <f>IF(AQ130="2",BI130,0)</f>
        <v>0</v>
      </c>
      <c r="AH130" s="38">
        <f>IF(AQ130="0",BJ130,0)</f>
        <v>0</v>
      </c>
      <c r="AI130" s="30" t="s">
        <v>95</v>
      </c>
      <c r="AJ130" s="20">
        <f>IF(AN130=0,J130,0)</f>
        <v>0</v>
      </c>
      <c r="AK130" s="20">
        <f>IF(AN130=15,J130,0)</f>
        <v>0</v>
      </c>
      <c r="AL130" s="20">
        <f>IF(AN130=21,J130,0)</f>
        <v>0</v>
      </c>
      <c r="AN130" s="38">
        <v>21</v>
      </c>
      <c r="AO130" s="38">
        <f>G130*0</f>
        <v>0</v>
      </c>
      <c r="AP130" s="38">
        <f>G130*(1-0)</f>
        <v>0</v>
      </c>
      <c r="AQ130" s="34" t="s">
        <v>13</v>
      </c>
      <c r="AV130" s="38">
        <f>AW130+AX130</f>
        <v>0</v>
      </c>
      <c r="AW130" s="38">
        <f>F130*AO130</f>
        <v>0</v>
      </c>
      <c r="AX130" s="38">
        <f>F130*AP130</f>
        <v>0</v>
      </c>
      <c r="AY130" s="39" t="s">
        <v>372</v>
      </c>
      <c r="AZ130" s="39" t="s">
        <v>383</v>
      </c>
      <c r="BA130" s="30" t="s">
        <v>389</v>
      </c>
      <c r="BC130" s="38">
        <f>AW130+AX130</f>
        <v>0</v>
      </c>
      <c r="BD130" s="38">
        <f>G130/(100-BE130)*100</f>
        <v>0</v>
      </c>
      <c r="BE130" s="38">
        <v>0</v>
      </c>
      <c r="BF130" s="38">
        <f>L130</f>
        <v>0.004455</v>
      </c>
      <c r="BH130" s="20">
        <f>F130*AO130</f>
        <v>0</v>
      </c>
      <c r="BI130" s="20">
        <f>F130*AP130</f>
        <v>0</v>
      </c>
      <c r="BJ130" s="20">
        <f>F130*G130</f>
        <v>0</v>
      </c>
    </row>
    <row r="131" spans="4:6" ht="12.75">
      <c r="D131" s="17" t="s">
        <v>265</v>
      </c>
      <c r="F131" s="21">
        <v>3.3</v>
      </c>
    </row>
    <row r="132" spans="1:62" ht="12.75">
      <c r="A132" s="5" t="s">
        <v>50</v>
      </c>
      <c r="B132" s="5" t="s">
        <v>95</v>
      </c>
      <c r="C132" s="5" t="s">
        <v>143</v>
      </c>
      <c r="D132" s="5" t="s">
        <v>266</v>
      </c>
      <c r="E132" s="5" t="s">
        <v>333</v>
      </c>
      <c r="F132" s="20">
        <v>3.3</v>
      </c>
      <c r="G132" s="20">
        <v>0</v>
      </c>
      <c r="H132" s="20">
        <f>F132*AO132</f>
        <v>0</v>
      </c>
      <c r="I132" s="20">
        <f>F132*AP132</f>
        <v>0</v>
      </c>
      <c r="J132" s="20">
        <f>F132*G132</f>
        <v>0</v>
      </c>
      <c r="K132" s="20">
        <v>0.00116</v>
      </c>
      <c r="L132" s="20">
        <f>F132*K132</f>
        <v>0.003828</v>
      </c>
      <c r="M132" s="34" t="s">
        <v>355</v>
      </c>
      <c r="Z132" s="38">
        <f>IF(AQ132="5",BJ132,0)</f>
        <v>0</v>
      </c>
      <c r="AB132" s="38">
        <f>IF(AQ132="1",BH132,0)</f>
        <v>0</v>
      </c>
      <c r="AC132" s="38">
        <f>IF(AQ132="1",BI132,0)</f>
        <v>0</v>
      </c>
      <c r="AD132" s="38">
        <f>IF(AQ132="7",BH132,0)</f>
        <v>0</v>
      </c>
      <c r="AE132" s="38">
        <f>IF(AQ132="7",BI132,0)</f>
        <v>0</v>
      </c>
      <c r="AF132" s="38">
        <f>IF(AQ132="2",BH132,0)</f>
        <v>0</v>
      </c>
      <c r="AG132" s="38">
        <f>IF(AQ132="2",BI132,0)</f>
        <v>0</v>
      </c>
      <c r="AH132" s="38">
        <f>IF(AQ132="0",BJ132,0)</f>
        <v>0</v>
      </c>
      <c r="AI132" s="30" t="s">
        <v>95</v>
      </c>
      <c r="AJ132" s="20">
        <f>IF(AN132=0,J132,0)</f>
        <v>0</v>
      </c>
      <c r="AK132" s="20">
        <f>IF(AN132=15,J132,0)</f>
        <v>0</v>
      </c>
      <c r="AL132" s="20">
        <f>IF(AN132=21,J132,0)</f>
        <v>0</v>
      </c>
      <c r="AN132" s="38">
        <v>21</v>
      </c>
      <c r="AO132" s="38">
        <f>G132*0.185692108667529</f>
        <v>0</v>
      </c>
      <c r="AP132" s="38">
        <f>G132*(1-0.185692108667529)</f>
        <v>0</v>
      </c>
      <c r="AQ132" s="34" t="s">
        <v>13</v>
      </c>
      <c r="AV132" s="38">
        <f>AW132+AX132</f>
        <v>0</v>
      </c>
      <c r="AW132" s="38">
        <f>F132*AO132</f>
        <v>0</v>
      </c>
      <c r="AX132" s="38">
        <f>F132*AP132</f>
        <v>0</v>
      </c>
      <c r="AY132" s="39" t="s">
        <v>372</v>
      </c>
      <c r="AZ132" s="39" t="s">
        <v>383</v>
      </c>
      <c r="BA132" s="30" t="s">
        <v>389</v>
      </c>
      <c r="BC132" s="38">
        <f>AW132+AX132</f>
        <v>0</v>
      </c>
      <c r="BD132" s="38">
        <f>G132/(100-BE132)*100</f>
        <v>0</v>
      </c>
      <c r="BE132" s="38">
        <v>0</v>
      </c>
      <c r="BF132" s="38">
        <f>L132</f>
        <v>0.003828</v>
      </c>
      <c r="BH132" s="20">
        <f>F132*AO132</f>
        <v>0</v>
      </c>
      <c r="BI132" s="20">
        <f>F132*AP132</f>
        <v>0</v>
      </c>
      <c r="BJ132" s="20">
        <f>F132*G132</f>
        <v>0</v>
      </c>
    </row>
    <row r="133" spans="4:6" ht="12.75">
      <c r="D133" s="17" t="s">
        <v>265</v>
      </c>
      <c r="F133" s="21">
        <v>3.3</v>
      </c>
    </row>
    <row r="134" spans="1:62" ht="12.75">
      <c r="A134" s="5" t="s">
        <v>51</v>
      </c>
      <c r="B134" s="5" t="s">
        <v>95</v>
      </c>
      <c r="C134" s="5" t="s">
        <v>144</v>
      </c>
      <c r="D134" s="5" t="s">
        <v>267</v>
      </c>
      <c r="E134" s="5" t="s">
        <v>337</v>
      </c>
      <c r="F134" s="20">
        <v>1.85</v>
      </c>
      <c r="G134" s="20">
        <v>0</v>
      </c>
      <c r="H134" s="20">
        <f>F134*AO134</f>
        <v>0</v>
      </c>
      <c r="I134" s="20">
        <f>F134*AP134</f>
        <v>0</v>
      </c>
      <c r="J134" s="20">
        <f>F134*G134</f>
        <v>0</v>
      </c>
      <c r="K134" s="20">
        <v>0</v>
      </c>
      <c r="L134" s="20">
        <f>F134*K134</f>
        <v>0</v>
      </c>
      <c r="M134" s="34" t="s">
        <v>355</v>
      </c>
      <c r="Z134" s="38">
        <f>IF(AQ134="5",BJ134,0)</f>
        <v>0</v>
      </c>
      <c r="AB134" s="38">
        <f>IF(AQ134="1",BH134,0)</f>
        <v>0</v>
      </c>
      <c r="AC134" s="38">
        <f>IF(AQ134="1",BI134,0)</f>
        <v>0</v>
      </c>
      <c r="AD134" s="38">
        <f>IF(AQ134="7",BH134,0)</f>
        <v>0</v>
      </c>
      <c r="AE134" s="38">
        <f>IF(AQ134="7",BI134,0)</f>
        <v>0</v>
      </c>
      <c r="AF134" s="38">
        <f>IF(AQ134="2",BH134,0)</f>
        <v>0</v>
      </c>
      <c r="AG134" s="38">
        <f>IF(AQ134="2",BI134,0)</f>
        <v>0</v>
      </c>
      <c r="AH134" s="38">
        <f>IF(AQ134="0",BJ134,0)</f>
        <v>0</v>
      </c>
      <c r="AI134" s="30" t="s">
        <v>95</v>
      </c>
      <c r="AJ134" s="20">
        <f>IF(AN134=0,J134,0)</f>
        <v>0</v>
      </c>
      <c r="AK134" s="20">
        <f>IF(AN134=15,J134,0)</f>
        <v>0</v>
      </c>
      <c r="AL134" s="20">
        <f>IF(AN134=21,J134,0)</f>
        <v>0</v>
      </c>
      <c r="AN134" s="38">
        <v>21</v>
      </c>
      <c r="AO134" s="38">
        <f>G134*0</f>
        <v>0</v>
      </c>
      <c r="AP134" s="38">
        <f>G134*(1-0)</f>
        <v>0</v>
      </c>
      <c r="AQ134" s="34" t="s">
        <v>11</v>
      </c>
      <c r="AV134" s="38">
        <f>AW134+AX134</f>
        <v>0</v>
      </c>
      <c r="AW134" s="38">
        <f>F134*AO134</f>
        <v>0</v>
      </c>
      <c r="AX134" s="38">
        <f>F134*AP134</f>
        <v>0</v>
      </c>
      <c r="AY134" s="39" t="s">
        <v>372</v>
      </c>
      <c r="AZ134" s="39" t="s">
        <v>383</v>
      </c>
      <c r="BA134" s="30" t="s">
        <v>389</v>
      </c>
      <c r="BC134" s="38">
        <f>AW134+AX134</f>
        <v>0</v>
      </c>
      <c r="BD134" s="38">
        <f>G134/(100-BE134)*100</f>
        <v>0</v>
      </c>
      <c r="BE134" s="38">
        <v>0</v>
      </c>
      <c r="BF134" s="38">
        <f>L134</f>
        <v>0</v>
      </c>
      <c r="BH134" s="20">
        <f>F134*AO134</f>
        <v>0</v>
      </c>
      <c r="BI134" s="20">
        <f>F134*AP134</f>
        <v>0</v>
      </c>
      <c r="BJ134" s="20">
        <f>F134*G134</f>
        <v>0</v>
      </c>
    </row>
    <row r="135" spans="1:47" ht="12.75">
      <c r="A135" s="4"/>
      <c r="B135" s="14" t="s">
        <v>95</v>
      </c>
      <c r="C135" s="14" t="s">
        <v>145</v>
      </c>
      <c r="D135" s="14" t="s">
        <v>268</v>
      </c>
      <c r="E135" s="4" t="s">
        <v>6</v>
      </c>
      <c r="F135" s="4" t="s">
        <v>6</v>
      </c>
      <c r="G135" s="4" t="s">
        <v>6</v>
      </c>
      <c r="H135" s="41">
        <f>SUM(H136:H177)</f>
        <v>0</v>
      </c>
      <c r="I135" s="41">
        <f>SUM(I136:I177)</f>
        <v>0</v>
      </c>
      <c r="J135" s="41">
        <f>SUM(J136:J177)</f>
        <v>0</v>
      </c>
      <c r="K135" s="30"/>
      <c r="L135" s="41">
        <f>SUM(L136:L177)</f>
        <v>21.5885511</v>
      </c>
      <c r="M135" s="30"/>
      <c r="AI135" s="30" t="s">
        <v>95</v>
      </c>
      <c r="AS135" s="41">
        <f>SUM(AJ136:AJ177)</f>
        <v>0</v>
      </c>
      <c r="AT135" s="41">
        <f>SUM(AK136:AK177)</f>
        <v>0</v>
      </c>
      <c r="AU135" s="41">
        <f>SUM(AL136:AL177)</f>
        <v>0</v>
      </c>
    </row>
    <row r="136" spans="1:62" ht="12.75">
      <c r="A136" s="5" t="s">
        <v>52</v>
      </c>
      <c r="B136" s="5" t="s">
        <v>95</v>
      </c>
      <c r="C136" s="5" t="s">
        <v>146</v>
      </c>
      <c r="D136" s="5" t="s">
        <v>269</v>
      </c>
      <c r="E136" s="5" t="s">
        <v>333</v>
      </c>
      <c r="F136" s="20">
        <v>43.43</v>
      </c>
      <c r="G136" s="20">
        <v>0</v>
      </c>
      <c r="H136" s="20">
        <f>F136*AO136</f>
        <v>0</v>
      </c>
      <c r="I136" s="20">
        <f>F136*AP136</f>
        <v>0</v>
      </c>
      <c r="J136" s="20">
        <f>F136*G136</f>
        <v>0</v>
      </c>
      <c r="K136" s="20">
        <v>0.119</v>
      </c>
      <c r="L136" s="20">
        <f>F136*K136</f>
        <v>5.16817</v>
      </c>
      <c r="M136" s="34" t="s">
        <v>356</v>
      </c>
      <c r="Z136" s="38">
        <f>IF(AQ136="5",BJ136,0)</f>
        <v>0</v>
      </c>
      <c r="AB136" s="38">
        <f>IF(AQ136="1",BH136,0)</f>
        <v>0</v>
      </c>
      <c r="AC136" s="38">
        <f>IF(AQ136="1",BI136,0)</f>
        <v>0</v>
      </c>
      <c r="AD136" s="38">
        <f>IF(AQ136="7",BH136,0)</f>
        <v>0</v>
      </c>
      <c r="AE136" s="38">
        <f>IF(AQ136="7",BI136,0)</f>
        <v>0</v>
      </c>
      <c r="AF136" s="38">
        <f>IF(AQ136="2",BH136,0)</f>
        <v>0</v>
      </c>
      <c r="AG136" s="38">
        <f>IF(AQ136="2",BI136,0)</f>
        <v>0</v>
      </c>
      <c r="AH136" s="38">
        <f>IF(AQ136="0",BJ136,0)</f>
        <v>0</v>
      </c>
      <c r="AI136" s="30" t="s">
        <v>95</v>
      </c>
      <c r="AJ136" s="20">
        <f>IF(AN136=0,J136,0)</f>
        <v>0</v>
      </c>
      <c r="AK136" s="20">
        <f>IF(AN136=15,J136,0)</f>
        <v>0</v>
      </c>
      <c r="AL136" s="20">
        <f>IF(AN136=21,J136,0)</f>
        <v>0</v>
      </c>
      <c r="AN136" s="38">
        <v>21</v>
      </c>
      <c r="AO136" s="38">
        <f>G136*0.163156173884096</f>
        <v>0</v>
      </c>
      <c r="AP136" s="38">
        <f>G136*(1-0.163156173884096)</f>
        <v>0</v>
      </c>
      <c r="AQ136" s="34" t="s">
        <v>13</v>
      </c>
      <c r="AV136" s="38">
        <f>AW136+AX136</f>
        <v>0</v>
      </c>
      <c r="AW136" s="38">
        <f>F136*AO136</f>
        <v>0</v>
      </c>
      <c r="AX136" s="38">
        <f>F136*AP136</f>
        <v>0</v>
      </c>
      <c r="AY136" s="39" t="s">
        <v>373</v>
      </c>
      <c r="AZ136" s="39" t="s">
        <v>384</v>
      </c>
      <c r="BA136" s="30" t="s">
        <v>389</v>
      </c>
      <c r="BC136" s="38">
        <f>AW136+AX136</f>
        <v>0</v>
      </c>
      <c r="BD136" s="38">
        <f>G136/(100-BE136)*100</f>
        <v>0</v>
      </c>
      <c r="BE136" s="38">
        <v>0</v>
      </c>
      <c r="BF136" s="38">
        <f>L136</f>
        <v>5.16817</v>
      </c>
      <c r="BH136" s="20">
        <f>F136*AO136</f>
        <v>0</v>
      </c>
      <c r="BI136" s="20">
        <f>F136*AP136</f>
        <v>0</v>
      </c>
      <c r="BJ136" s="20">
        <f>F136*G136</f>
        <v>0</v>
      </c>
    </row>
    <row r="137" spans="4:6" ht="12.75">
      <c r="D137" s="17" t="s">
        <v>270</v>
      </c>
      <c r="F137" s="21">
        <v>43.43</v>
      </c>
    </row>
    <row r="138" spans="1:62" ht="12.75">
      <c r="A138" s="5" t="s">
        <v>53</v>
      </c>
      <c r="B138" s="5" t="s">
        <v>95</v>
      </c>
      <c r="C138" s="5" t="s">
        <v>147</v>
      </c>
      <c r="D138" s="5" t="s">
        <v>271</v>
      </c>
      <c r="E138" s="5" t="s">
        <v>333</v>
      </c>
      <c r="F138" s="20">
        <v>43.43</v>
      </c>
      <c r="G138" s="20">
        <v>0</v>
      </c>
      <c r="H138" s="20">
        <f>F138*AO138</f>
        <v>0</v>
      </c>
      <c r="I138" s="20">
        <f>F138*AP138</f>
        <v>0</v>
      </c>
      <c r="J138" s="20">
        <f>F138*G138</f>
        <v>0</v>
      </c>
      <c r="K138" s="20">
        <v>0.119</v>
      </c>
      <c r="L138" s="20">
        <f>F138*K138</f>
        <v>5.16817</v>
      </c>
      <c r="M138" s="34" t="s">
        <v>356</v>
      </c>
      <c r="Z138" s="38">
        <f>IF(AQ138="5",BJ138,0)</f>
        <v>0</v>
      </c>
      <c r="AB138" s="38">
        <f>IF(AQ138="1",BH138,0)</f>
        <v>0</v>
      </c>
      <c r="AC138" s="38">
        <f>IF(AQ138="1",BI138,0)</f>
        <v>0</v>
      </c>
      <c r="AD138" s="38">
        <f>IF(AQ138="7",BH138,0)</f>
        <v>0</v>
      </c>
      <c r="AE138" s="38">
        <f>IF(AQ138="7",BI138,0)</f>
        <v>0</v>
      </c>
      <c r="AF138" s="38">
        <f>IF(AQ138="2",BH138,0)</f>
        <v>0</v>
      </c>
      <c r="AG138" s="38">
        <f>IF(AQ138="2",BI138,0)</f>
        <v>0</v>
      </c>
      <c r="AH138" s="38">
        <f>IF(AQ138="0",BJ138,0)</f>
        <v>0</v>
      </c>
      <c r="AI138" s="30" t="s">
        <v>95</v>
      </c>
      <c r="AJ138" s="20">
        <f>IF(AN138=0,J138,0)</f>
        <v>0</v>
      </c>
      <c r="AK138" s="20">
        <f>IF(AN138=15,J138,0)</f>
        <v>0</v>
      </c>
      <c r="AL138" s="20">
        <f>IF(AN138=21,J138,0)</f>
        <v>0</v>
      </c>
      <c r="AN138" s="38">
        <v>21</v>
      </c>
      <c r="AO138" s="38">
        <f>G138*0.163131366756451</f>
        <v>0</v>
      </c>
      <c r="AP138" s="38">
        <f>G138*(1-0.163131366756451)</f>
        <v>0</v>
      </c>
      <c r="AQ138" s="34" t="s">
        <v>13</v>
      </c>
      <c r="AV138" s="38">
        <f>AW138+AX138</f>
        <v>0</v>
      </c>
      <c r="AW138" s="38">
        <f>F138*AO138</f>
        <v>0</v>
      </c>
      <c r="AX138" s="38">
        <f>F138*AP138</f>
        <v>0</v>
      </c>
      <c r="AY138" s="39" t="s">
        <v>373</v>
      </c>
      <c r="AZ138" s="39" t="s">
        <v>384</v>
      </c>
      <c r="BA138" s="30" t="s">
        <v>389</v>
      </c>
      <c r="BC138" s="38">
        <f>AW138+AX138</f>
        <v>0</v>
      </c>
      <c r="BD138" s="38">
        <f>G138/(100-BE138)*100</f>
        <v>0</v>
      </c>
      <c r="BE138" s="38">
        <v>0</v>
      </c>
      <c r="BF138" s="38">
        <f>L138</f>
        <v>5.16817</v>
      </c>
      <c r="BH138" s="20">
        <f>F138*AO138</f>
        <v>0</v>
      </c>
      <c r="BI138" s="20">
        <f>F138*AP138</f>
        <v>0</v>
      </c>
      <c r="BJ138" s="20">
        <f>F138*G138</f>
        <v>0</v>
      </c>
    </row>
    <row r="139" spans="4:6" ht="12.75">
      <c r="D139" s="17" t="s">
        <v>270</v>
      </c>
      <c r="F139" s="21">
        <v>43.43</v>
      </c>
    </row>
    <row r="140" spans="1:62" ht="12.75">
      <c r="A140" s="5" t="s">
        <v>54</v>
      </c>
      <c r="B140" s="5" t="s">
        <v>95</v>
      </c>
      <c r="C140" s="5" t="s">
        <v>148</v>
      </c>
      <c r="D140" s="5" t="s">
        <v>272</v>
      </c>
      <c r="E140" s="5" t="s">
        <v>334</v>
      </c>
      <c r="F140" s="20">
        <v>80.5</v>
      </c>
      <c r="G140" s="20">
        <v>0</v>
      </c>
      <c r="H140" s="20">
        <f>F140*AO140</f>
        <v>0</v>
      </c>
      <c r="I140" s="20">
        <f>F140*AP140</f>
        <v>0</v>
      </c>
      <c r="J140" s="20">
        <f>F140*G140</f>
        <v>0</v>
      </c>
      <c r="K140" s="20">
        <v>2E-05</v>
      </c>
      <c r="L140" s="20">
        <f>F140*K140</f>
        <v>0.00161</v>
      </c>
      <c r="M140" s="34" t="s">
        <v>356</v>
      </c>
      <c r="Z140" s="38">
        <f>IF(AQ140="5",BJ140,0)</f>
        <v>0</v>
      </c>
      <c r="AB140" s="38">
        <f>IF(AQ140="1",BH140,0)</f>
        <v>0</v>
      </c>
      <c r="AC140" s="38">
        <f>IF(AQ140="1",BI140,0)</f>
        <v>0</v>
      </c>
      <c r="AD140" s="38">
        <f>IF(AQ140="7",BH140,0)</f>
        <v>0</v>
      </c>
      <c r="AE140" s="38">
        <f>IF(AQ140="7",BI140,0)</f>
        <v>0</v>
      </c>
      <c r="AF140" s="38">
        <f>IF(AQ140="2",BH140,0)</f>
        <v>0</v>
      </c>
      <c r="AG140" s="38">
        <f>IF(AQ140="2",BI140,0)</f>
        <v>0</v>
      </c>
      <c r="AH140" s="38">
        <f>IF(AQ140="0",BJ140,0)</f>
        <v>0</v>
      </c>
      <c r="AI140" s="30" t="s">
        <v>95</v>
      </c>
      <c r="AJ140" s="20">
        <f>IF(AN140=0,J140,0)</f>
        <v>0</v>
      </c>
      <c r="AK140" s="20">
        <f>IF(AN140=15,J140,0)</f>
        <v>0</v>
      </c>
      <c r="AL140" s="20">
        <f>IF(AN140=21,J140,0)</f>
        <v>0</v>
      </c>
      <c r="AN140" s="38">
        <v>21</v>
      </c>
      <c r="AO140" s="38">
        <f>G140*0.0683023593192667</f>
        <v>0</v>
      </c>
      <c r="AP140" s="38">
        <f>G140*(1-0.0683023593192667)</f>
        <v>0</v>
      </c>
      <c r="AQ140" s="34" t="s">
        <v>13</v>
      </c>
      <c r="AV140" s="38">
        <f>AW140+AX140</f>
        <v>0</v>
      </c>
      <c r="AW140" s="38">
        <f>F140*AO140</f>
        <v>0</v>
      </c>
      <c r="AX140" s="38">
        <f>F140*AP140</f>
        <v>0</v>
      </c>
      <c r="AY140" s="39" t="s">
        <v>373</v>
      </c>
      <c r="AZ140" s="39" t="s">
        <v>384</v>
      </c>
      <c r="BA140" s="30" t="s">
        <v>389</v>
      </c>
      <c r="BC140" s="38">
        <f>AW140+AX140</f>
        <v>0</v>
      </c>
      <c r="BD140" s="38">
        <f>G140/(100-BE140)*100</f>
        <v>0</v>
      </c>
      <c r="BE140" s="38">
        <v>0</v>
      </c>
      <c r="BF140" s="38">
        <f>L140</f>
        <v>0.00161</v>
      </c>
      <c r="BH140" s="20">
        <f>F140*AO140</f>
        <v>0</v>
      </c>
      <c r="BI140" s="20">
        <f>F140*AP140</f>
        <v>0</v>
      </c>
      <c r="BJ140" s="20">
        <f>F140*G140</f>
        <v>0</v>
      </c>
    </row>
    <row r="141" spans="4:6" ht="12.75">
      <c r="D141" s="17" t="s">
        <v>273</v>
      </c>
      <c r="F141" s="21">
        <v>40.05</v>
      </c>
    </row>
    <row r="142" spans="4:6" ht="12.75">
      <c r="D142" s="17" t="s">
        <v>274</v>
      </c>
      <c r="F142" s="21">
        <v>19.21</v>
      </c>
    </row>
    <row r="143" spans="4:6" ht="12.75">
      <c r="D143" s="17" t="s">
        <v>275</v>
      </c>
      <c r="F143" s="21">
        <v>21.24</v>
      </c>
    </row>
    <row r="144" spans="1:62" ht="12.75">
      <c r="A144" s="5" t="s">
        <v>55</v>
      </c>
      <c r="B144" s="5" t="s">
        <v>95</v>
      </c>
      <c r="C144" s="5" t="s">
        <v>149</v>
      </c>
      <c r="D144" s="5" t="s">
        <v>276</v>
      </c>
      <c r="E144" s="5" t="s">
        <v>334</v>
      </c>
      <c r="F144" s="20">
        <v>4</v>
      </c>
      <c r="G144" s="20">
        <v>0</v>
      </c>
      <c r="H144" s="20">
        <f>F144*AO144</f>
        <v>0</v>
      </c>
      <c r="I144" s="20">
        <f>F144*AP144</f>
        <v>0</v>
      </c>
      <c r="J144" s="20">
        <f>F144*G144</f>
        <v>0</v>
      </c>
      <c r="K144" s="20">
        <v>2E-05</v>
      </c>
      <c r="L144" s="20">
        <f>F144*K144</f>
        <v>8E-05</v>
      </c>
      <c r="M144" s="34" t="s">
        <v>356</v>
      </c>
      <c r="Z144" s="38">
        <f>IF(AQ144="5",BJ144,0)</f>
        <v>0</v>
      </c>
      <c r="AB144" s="38">
        <f>IF(AQ144="1",BH144,0)</f>
        <v>0</v>
      </c>
      <c r="AC144" s="38">
        <f>IF(AQ144="1",BI144,0)</f>
        <v>0</v>
      </c>
      <c r="AD144" s="38">
        <f>IF(AQ144="7",BH144,0)</f>
        <v>0</v>
      </c>
      <c r="AE144" s="38">
        <f>IF(AQ144="7",BI144,0)</f>
        <v>0</v>
      </c>
      <c r="AF144" s="38">
        <f>IF(AQ144="2",BH144,0)</f>
        <v>0</v>
      </c>
      <c r="AG144" s="38">
        <f>IF(AQ144="2",BI144,0)</f>
        <v>0</v>
      </c>
      <c r="AH144" s="38">
        <f>IF(AQ144="0",BJ144,0)</f>
        <v>0</v>
      </c>
      <c r="AI144" s="30" t="s">
        <v>95</v>
      </c>
      <c r="AJ144" s="20">
        <f>IF(AN144=0,J144,0)</f>
        <v>0</v>
      </c>
      <c r="AK144" s="20">
        <f>IF(AN144=15,J144,0)</f>
        <v>0</v>
      </c>
      <c r="AL144" s="20">
        <f>IF(AN144=21,J144,0)</f>
        <v>0</v>
      </c>
      <c r="AN144" s="38">
        <v>21</v>
      </c>
      <c r="AO144" s="38">
        <f>G144*0.068296875</f>
        <v>0</v>
      </c>
      <c r="AP144" s="38">
        <f>G144*(1-0.068296875)</f>
        <v>0</v>
      </c>
      <c r="AQ144" s="34" t="s">
        <v>13</v>
      </c>
      <c r="AV144" s="38">
        <f>AW144+AX144</f>
        <v>0</v>
      </c>
      <c r="AW144" s="38">
        <f>F144*AO144</f>
        <v>0</v>
      </c>
      <c r="AX144" s="38">
        <f>F144*AP144</f>
        <v>0</v>
      </c>
      <c r="AY144" s="39" t="s">
        <v>373</v>
      </c>
      <c r="AZ144" s="39" t="s">
        <v>384</v>
      </c>
      <c r="BA144" s="30" t="s">
        <v>389</v>
      </c>
      <c r="BC144" s="38">
        <f>AW144+AX144</f>
        <v>0</v>
      </c>
      <c r="BD144" s="38">
        <f>G144/(100-BE144)*100</f>
        <v>0</v>
      </c>
      <c r="BE144" s="38">
        <v>0</v>
      </c>
      <c r="BF144" s="38">
        <f>L144</f>
        <v>8E-05</v>
      </c>
      <c r="BH144" s="20">
        <f>F144*AO144</f>
        <v>0</v>
      </c>
      <c r="BI144" s="20">
        <f>F144*AP144</f>
        <v>0</v>
      </c>
      <c r="BJ144" s="20">
        <f>F144*G144</f>
        <v>0</v>
      </c>
    </row>
    <row r="145" spans="4:6" ht="12.75">
      <c r="D145" s="17" t="s">
        <v>277</v>
      </c>
      <c r="F145" s="21">
        <v>4</v>
      </c>
    </row>
    <row r="146" spans="1:62" ht="12.75">
      <c r="A146" s="5" t="s">
        <v>56</v>
      </c>
      <c r="B146" s="5" t="s">
        <v>95</v>
      </c>
      <c r="C146" s="5" t="s">
        <v>150</v>
      </c>
      <c r="D146" s="5" t="s">
        <v>278</v>
      </c>
      <c r="E146" s="5" t="s">
        <v>334</v>
      </c>
      <c r="F146" s="20">
        <v>1.1</v>
      </c>
      <c r="G146" s="20">
        <v>0</v>
      </c>
      <c r="H146" s="20">
        <f>F146*AO146</f>
        <v>0</v>
      </c>
      <c r="I146" s="20">
        <f>F146*AP146</f>
        <v>0</v>
      </c>
      <c r="J146" s="20">
        <f>F146*G146</f>
        <v>0</v>
      </c>
      <c r="K146" s="20">
        <v>0.07687</v>
      </c>
      <c r="L146" s="20">
        <f>F146*K146</f>
        <v>0.084557</v>
      </c>
      <c r="M146" s="34" t="s">
        <v>355</v>
      </c>
      <c r="Z146" s="38">
        <f>IF(AQ146="5",BJ146,0)</f>
        <v>0</v>
      </c>
      <c r="AB146" s="38">
        <f>IF(AQ146="1",BH146,0)</f>
        <v>0</v>
      </c>
      <c r="AC146" s="38">
        <f>IF(AQ146="1",BI146,0)</f>
        <v>0</v>
      </c>
      <c r="AD146" s="38">
        <f>IF(AQ146="7",BH146,0)</f>
        <v>0</v>
      </c>
      <c r="AE146" s="38">
        <f>IF(AQ146="7",BI146,0)</f>
        <v>0</v>
      </c>
      <c r="AF146" s="38">
        <f>IF(AQ146="2",BH146,0)</f>
        <v>0</v>
      </c>
      <c r="AG146" s="38">
        <f>IF(AQ146="2",BI146,0)</f>
        <v>0</v>
      </c>
      <c r="AH146" s="38">
        <f>IF(AQ146="0",BJ146,0)</f>
        <v>0</v>
      </c>
      <c r="AI146" s="30" t="s">
        <v>95</v>
      </c>
      <c r="AJ146" s="20">
        <f>IF(AN146=0,J146,0)</f>
        <v>0</v>
      </c>
      <c r="AK146" s="20">
        <f>IF(AN146=15,J146,0)</f>
        <v>0</v>
      </c>
      <c r="AL146" s="20">
        <f>IF(AN146=21,J146,0)</f>
        <v>0</v>
      </c>
      <c r="AN146" s="38">
        <v>21</v>
      </c>
      <c r="AO146" s="38">
        <f>G146*0.229100998890122</f>
        <v>0</v>
      </c>
      <c r="AP146" s="38">
        <f>G146*(1-0.229100998890122)</f>
        <v>0</v>
      </c>
      <c r="AQ146" s="34" t="s">
        <v>13</v>
      </c>
      <c r="AV146" s="38">
        <f>AW146+AX146</f>
        <v>0</v>
      </c>
      <c r="AW146" s="38">
        <f>F146*AO146</f>
        <v>0</v>
      </c>
      <c r="AX146" s="38">
        <f>F146*AP146</f>
        <v>0</v>
      </c>
      <c r="AY146" s="39" t="s">
        <v>373</v>
      </c>
      <c r="AZ146" s="39" t="s">
        <v>384</v>
      </c>
      <c r="BA146" s="30" t="s">
        <v>389</v>
      </c>
      <c r="BC146" s="38">
        <f>AW146+AX146</f>
        <v>0</v>
      </c>
      <c r="BD146" s="38">
        <f>G146/(100-BE146)*100</f>
        <v>0</v>
      </c>
      <c r="BE146" s="38">
        <v>0</v>
      </c>
      <c r="BF146" s="38">
        <f>L146</f>
        <v>0.084557</v>
      </c>
      <c r="BH146" s="20">
        <f>F146*AO146</f>
        <v>0</v>
      </c>
      <c r="BI146" s="20">
        <f>F146*AP146</f>
        <v>0</v>
      </c>
      <c r="BJ146" s="20">
        <f>F146*G146</f>
        <v>0</v>
      </c>
    </row>
    <row r="147" spans="4:6" ht="12.75">
      <c r="D147" s="17" t="s">
        <v>279</v>
      </c>
      <c r="F147" s="21">
        <v>1.1</v>
      </c>
    </row>
    <row r="148" spans="1:62" ht="12.75">
      <c r="A148" s="6" t="s">
        <v>57</v>
      </c>
      <c r="B148" s="6" t="s">
        <v>95</v>
      </c>
      <c r="C148" s="6" t="s">
        <v>151</v>
      </c>
      <c r="D148" s="6" t="s">
        <v>280</v>
      </c>
      <c r="E148" s="6" t="s">
        <v>334</v>
      </c>
      <c r="F148" s="22">
        <v>1.1</v>
      </c>
      <c r="G148" s="22">
        <v>0</v>
      </c>
      <c r="H148" s="22">
        <f>F148*AO148</f>
        <v>0</v>
      </c>
      <c r="I148" s="22">
        <f>F148*AP148</f>
        <v>0</v>
      </c>
      <c r="J148" s="22">
        <f>F148*G148</f>
        <v>0</v>
      </c>
      <c r="K148" s="22">
        <v>0.081</v>
      </c>
      <c r="L148" s="22">
        <f>F148*K148</f>
        <v>0.08910000000000001</v>
      </c>
      <c r="M148" s="67" t="s">
        <v>356</v>
      </c>
      <c r="Z148" s="38">
        <f>IF(AQ148="5",BJ148,0)</f>
        <v>0</v>
      </c>
      <c r="AB148" s="38">
        <f>IF(AQ148="1",BH148,0)</f>
        <v>0</v>
      </c>
      <c r="AC148" s="38">
        <f>IF(AQ148="1",BI148,0)</f>
        <v>0</v>
      </c>
      <c r="AD148" s="38">
        <f>IF(AQ148="7",BH148,0)</f>
        <v>0</v>
      </c>
      <c r="AE148" s="38">
        <f>IF(AQ148="7",BI148,0)</f>
        <v>0</v>
      </c>
      <c r="AF148" s="38">
        <f>IF(AQ148="2",BH148,0)</f>
        <v>0</v>
      </c>
      <c r="AG148" s="38">
        <f>IF(AQ148="2",BI148,0)</f>
        <v>0</v>
      </c>
      <c r="AH148" s="38">
        <f>IF(AQ148="0",BJ148,0)</f>
        <v>0</v>
      </c>
      <c r="AI148" s="30" t="s">
        <v>95</v>
      </c>
      <c r="AJ148" s="22">
        <f>IF(AN148=0,J148,0)</f>
        <v>0</v>
      </c>
      <c r="AK148" s="22">
        <f>IF(AN148=15,J148,0)</f>
        <v>0</v>
      </c>
      <c r="AL148" s="22">
        <f>IF(AN148=21,J148,0)</f>
        <v>0</v>
      </c>
      <c r="AN148" s="38">
        <v>21</v>
      </c>
      <c r="AO148" s="38">
        <f>G148*1</f>
        <v>0</v>
      </c>
      <c r="AP148" s="38">
        <f>G148*(1-1)</f>
        <v>0</v>
      </c>
      <c r="AQ148" s="35" t="s">
        <v>13</v>
      </c>
      <c r="AV148" s="38">
        <f>AW148+AX148</f>
        <v>0</v>
      </c>
      <c r="AW148" s="38">
        <f>F148*AO148</f>
        <v>0</v>
      </c>
      <c r="AX148" s="38">
        <f>F148*AP148</f>
        <v>0</v>
      </c>
      <c r="AY148" s="39" t="s">
        <v>373</v>
      </c>
      <c r="AZ148" s="39" t="s">
        <v>384</v>
      </c>
      <c r="BA148" s="30" t="s">
        <v>389</v>
      </c>
      <c r="BC148" s="38">
        <f>AW148+AX148</f>
        <v>0</v>
      </c>
      <c r="BD148" s="38">
        <f>G148/(100-BE148)*100</f>
        <v>0</v>
      </c>
      <c r="BE148" s="38">
        <v>0</v>
      </c>
      <c r="BF148" s="38">
        <f>L148</f>
        <v>0.08910000000000001</v>
      </c>
      <c r="BH148" s="22">
        <f>F148*AO148</f>
        <v>0</v>
      </c>
      <c r="BI148" s="22">
        <f>F148*AP148</f>
        <v>0</v>
      </c>
      <c r="BJ148" s="22">
        <f>F148*G148</f>
        <v>0</v>
      </c>
    </row>
    <row r="149" spans="4:6" ht="12.75">
      <c r="D149" s="17" t="s">
        <v>279</v>
      </c>
      <c r="F149" s="21">
        <v>1.1</v>
      </c>
    </row>
    <row r="150" spans="1:62" ht="12.75">
      <c r="A150" s="5" t="s">
        <v>58</v>
      </c>
      <c r="B150" s="5" t="s">
        <v>95</v>
      </c>
      <c r="C150" s="5" t="s">
        <v>152</v>
      </c>
      <c r="D150" s="5" t="s">
        <v>281</v>
      </c>
      <c r="E150" s="5" t="s">
        <v>334</v>
      </c>
      <c r="F150" s="20">
        <v>67.01</v>
      </c>
      <c r="G150" s="20">
        <v>0</v>
      </c>
      <c r="H150" s="20">
        <f>F150*AO150</f>
        <v>0</v>
      </c>
      <c r="I150" s="20">
        <f>F150*AP150</f>
        <v>0</v>
      </c>
      <c r="J150" s="20">
        <f>F150*G150</f>
        <v>0</v>
      </c>
      <c r="K150" s="20">
        <v>0.03517</v>
      </c>
      <c r="L150" s="20">
        <f>F150*K150</f>
        <v>2.3567417</v>
      </c>
      <c r="M150" s="34" t="s">
        <v>355</v>
      </c>
      <c r="Z150" s="38">
        <f>IF(AQ150="5",BJ150,0)</f>
        <v>0</v>
      </c>
      <c r="AB150" s="38">
        <f>IF(AQ150="1",BH150,0)</f>
        <v>0</v>
      </c>
      <c r="AC150" s="38">
        <f>IF(AQ150="1",BI150,0)</f>
        <v>0</v>
      </c>
      <c r="AD150" s="38">
        <f>IF(AQ150="7",BH150,0)</f>
        <v>0</v>
      </c>
      <c r="AE150" s="38">
        <f>IF(AQ150="7",BI150,0)</f>
        <v>0</v>
      </c>
      <c r="AF150" s="38">
        <f>IF(AQ150="2",BH150,0)</f>
        <v>0</v>
      </c>
      <c r="AG150" s="38">
        <f>IF(AQ150="2",BI150,0)</f>
        <v>0</v>
      </c>
      <c r="AH150" s="38">
        <f>IF(AQ150="0",BJ150,0)</f>
        <v>0</v>
      </c>
      <c r="AI150" s="30" t="s">
        <v>95</v>
      </c>
      <c r="AJ150" s="20">
        <f>IF(AN150=0,J150,0)</f>
        <v>0</v>
      </c>
      <c r="AK150" s="20">
        <f>IF(AN150=15,J150,0)</f>
        <v>0</v>
      </c>
      <c r="AL150" s="20">
        <f>IF(AN150=21,J150,0)</f>
        <v>0</v>
      </c>
      <c r="AN150" s="38">
        <v>21</v>
      </c>
      <c r="AO150" s="38">
        <f>G150*0.231620998007189</f>
        <v>0</v>
      </c>
      <c r="AP150" s="38">
        <f>G150*(1-0.231620998007189)</f>
        <v>0</v>
      </c>
      <c r="AQ150" s="34" t="s">
        <v>13</v>
      </c>
      <c r="AV150" s="38">
        <f>AW150+AX150</f>
        <v>0</v>
      </c>
      <c r="AW150" s="38">
        <f>F150*AO150</f>
        <v>0</v>
      </c>
      <c r="AX150" s="38">
        <f>F150*AP150</f>
        <v>0</v>
      </c>
      <c r="AY150" s="39" t="s">
        <v>373</v>
      </c>
      <c r="AZ150" s="39" t="s">
        <v>384</v>
      </c>
      <c r="BA150" s="30" t="s">
        <v>389</v>
      </c>
      <c r="BC150" s="38">
        <f>AW150+AX150</f>
        <v>0</v>
      </c>
      <c r="BD150" s="38">
        <f>G150/(100-BE150)*100</f>
        <v>0</v>
      </c>
      <c r="BE150" s="38">
        <v>0</v>
      </c>
      <c r="BF150" s="38">
        <f>L150</f>
        <v>2.3567417</v>
      </c>
      <c r="BH150" s="20">
        <f>F150*AO150</f>
        <v>0</v>
      </c>
      <c r="BI150" s="20">
        <f>F150*AP150</f>
        <v>0</v>
      </c>
      <c r="BJ150" s="20">
        <f>F150*G150</f>
        <v>0</v>
      </c>
    </row>
    <row r="151" spans="4:6" ht="12.75">
      <c r="D151" s="17" t="s">
        <v>282</v>
      </c>
      <c r="F151" s="21">
        <v>16.37</v>
      </c>
    </row>
    <row r="152" spans="4:6" ht="12.75">
      <c r="D152" s="17" t="s">
        <v>283</v>
      </c>
      <c r="F152" s="21">
        <v>15.17</v>
      </c>
    </row>
    <row r="153" spans="4:6" ht="12.75">
      <c r="D153" s="17" t="s">
        <v>284</v>
      </c>
      <c r="F153" s="21">
        <v>1.79</v>
      </c>
    </row>
    <row r="154" spans="4:6" ht="12.75">
      <c r="D154" s="17" t="s">
        <v>285</v>
      </c>
      <c r="F154" s="21">
        <v>28.74</v>
      </c>
    </row>
    <row r="155" spans="4:6" ht="12.75">
      <c r="D155" s="17" t="s">
        <v>286</v>
      </c>
      <c r="F155" s="21">
        <v>4.94</v>
      </c>
    </row>
    <row r="156" spans="1:62" ht="12.75">
      <c r="A156" s="6" t="s">
        <v>59</v>
      </c>
      <c r="B156" s="6" t="s">
        <v>95</v>
      </c>
      <c r="C156" s="6" t="s">
        <v>153</v>
      </c>
      <c r="D156" s="6" t="s">
        <v>287</v>
      </c>
      <c r="E156" s="6" t="s">
        <v>334</v>
      </c>
      <c r="F156" s="22">
        <v>70.36</v>
      </c>
      <c r="G156" s="22">
        <v>0</v>
      </c>
      <c r="H156" s="22">
        <f>F156*AO156</f>
        <v>0</v>
      </c>
      <c r="I156" s="22">
        <f>F156*AP156</f>
        <v>0</v>
      </c>
      <c r="J156" s="22">
        <f>F156*G156</f>
        <v>0</v>
      </c>
      <c r="K156" s="22">
        <v>0.081</v>
      </c>
      <c r="L156" s="22">
        <f>F156*K156</f>
        <v>5.69916</v>
      </c>
      <c r="M156" s="67" t="s">
        <v>356</v>
      </c>
      <c r="Z156" s="38">
        <f>IF(AQ156="5",BJ156,0)</f>
        <v>0</v>
      </c>
      <c r="AB156" s="38">
        <f>IF(AQ156="1",BH156,0)</f>
        <v>0</v>
      </c>
      <c r="AC156" s="38">
        <f>IF(AQ156="1",BI156,0)</f>
        <v>0</v>
      </c>
      <c r="AD156" s="38">
        <f>IF(AQ156="7",BH156,0)</f>
        <v>0</v>
      </c>
      <c r="AE156" s="38">
        <f>IF(AQ156="7",BI156,0)</f>
        <v>0</v>
      </c>
      <c r="AF156" s="38">
        <f>IF(AQ156="2",BH156,0)</f>
        <v>0</v>
      </c>
      <c r="AG156" s="38">
        <f>IF(AQ156="2",BI156,0)</f>
        <v>0</v>
      </c>
      <c r="AH156" s="38">
        <f>IF(AQ156="0",BJ156,0)</f>
        <v>0</v>
      </c>
      <c r="AI156" s="30" t="s">
        <v>95</v>
      </c>
      <c r="AJ156" s="22">
        <f>IF(AN156=0,J156,0)</f>
        <v>0</v>
      </c>
      <c r="AK156" s="22">
        <f>IF(AN156=15,J156,0)</f>
        <v>0</v>
      </c>
      <c r="AL156" s="22">
        <f>IF(AN156=21,J156,0)</f>
        <v>0</v>
      </c>
      <c r="AN156" s="38">
        <v>21</v>
      </c>
      <c r="AO156" s="38">
        <f>G156*1</f>
        <v>0</v>
      </c>
      <c r="AP156" s="38">
        <f>G156*(1-1)</f>
        <v>0</v>
      </c>
      <c r="AQ156" s="35" t="s">
        <v>13</v>
      </c>
      <c r="AV156" s="38">
        <f>AW156+AX156</f>
        <v>0</v>
      </c>
      <c r="AW156" s="38">
        <f>F156*AO156</f>
        <v>0</v>
      </c>
      <c r="AX156" s="38">
        <f>F156*AP156</f>
        <v>0</v>
      </c>
      <c r="AY156" s="39" t="s">
        <v>373</v>
      </c>
      <c r="AZ156" s="39" t="s">
        <v>384</v>
      </c>
      <c r="BA156" s="30" t="s">
        <v>389</v>
      </c>
      <c r="BC156" s="38">
        <f>AW156+AX156</f>
        <v>0</v>
      </c>
      <c r="BD156" s="38">
        <f>G156/(100-BE156)*100</f>
        <v>0</v>
      </c>
      <c r="BE156" s="38">
        <v>0</v>
      </c>
      <c r="BF156" s="38">
        <f>L156</f>
        <v>5.69916</v>
      </c>
      <c r="BH156" s="22">
        <f>F156*AO156</f>
        <v>0</v>
      </c>
      <c r="BI156" s="22">
        <f>F156*AP156</f>
        <v>0</v>
      </c>
      <c r="BJ156" s="22">
        <f>F156*G156</f>
        <v>0</v>
      </c>
    </row>
    <row r="157" spans="4:6" ht="12.75">
      <c r="D157" s="17" t="s">
        <v>282</v>
      </c>
      <c r="F157" s="21">
        <v>16.37</v>
      </c>
    </row>
    <row r="158" spans="4:6" ht="12.75">
      <c r="D158" s="17" t="s">
        <v>283</v>
      </c>
      <c r="F158" s="21">
        <v>15.17</v>
      </c>
    </row>
    <row r="159" spans="4:6" ht="12.75">
      <c r="D159" s="17" t="s">
        <v>284</v>
      </c>
      <c r="F159" s="21">
        <v>1.79</v>
      </c>
    </row>
    <row r="160" spans="4:6" ht="12.75">
      <c r="D160" s="17" t="s">
        <v>285</v>
      </c>
      <c r="F160" s="21">
        <v>28.74</v>
      </c>
    </row>
    <row r="161" spans="4:6" ht="12.75">
      <c r="D161" s="17" t="s">
        <v>286</v>
      </c>
      <c r="F161" s="21">
        <v>4.94</v>
      </c>
    </row>
    <row r="162" spans="4:6" ht="12.75">
      <c r="D162" s="17" t="s">
        <v>288</v>
      </c>
      <c r="F162" s="21">
        <v>3.35</v>
      </c>
    </row>
    <row r="163" spans="1:62" ht="12.75">
      <c r="A163" s="5" t="s">
        <v>60</v>
      </c>
      <c r="B163" s="5" t="s">
        <v>95</v>
      </c>
      <c r="C163" s="5" t="s">
        <v>154</v>
      </c>
      <c r="D163" s="5" t="s">
        <v>289</v>
      </c>
      <c r="E163" s="5" t="s">
        <v>334</v>
      </c>
      <c r="F163" s="20">
        <v>23.66</v>
      </c>
      <c r="G163" s="20">
        <v>0</v>
      </c>
      <c r="H163" s="20">
        <f>F163*AO163</f>
        <v>0</v>
      </c>
      <c r="I163" s="20">
        <f>F163*AP163</f>
        <v>0</v>
      </c>
      <c r="J163" s="20">
        <f>F163*G163</f>
        <v>0</v>
      </c>
      <c r="K163" s="20">
        <v>0.04264</v>
      </c>
      <c r="L163" s="20">
        <f>F163*K163</f>
        <v>1.0088624</v>
      </c>
      <c r="M163" s="34" t="s">
        <v>355</v>
      </c>
      <c r="Z163" s="38">
        <f>IF(AQ163="5",BJ163,0)</f>
        <v>0</v>
      </c>
      <c r="AB163" s="38">
        <f>IF(AQ163="1",BH163,0)</f>
        <v>0</v>
      </c>
      <c r="AC163" s="38">
        <f>IF(AQ163="1",BI163,0)</f>
        <v>0</v>
      </c>
      <c r="AD163" s="38">
        <f>IF(AQ163="7",BH163,0)</f>
        <v>0</v>
      </c>
      <c r="AE163" s="38">
        <f>IF(AQ163="7",BI163,0)</f>
        <v>0</v>
      </c>
      <c r="AF163" s="38">
        <f>IF(AQ163="2",BH163,0)</f>
        <v>0</v>
      </c>
      <c r="AG163" s="38">
        <f>IF(AQ163="2",BI163,0)</f>
        <v>0</v>
      </c>
      <c r="AH163" s="38">
        <f>IF(AQ163="0",BJ163,0)</f>
        <v>0</v>
      </c>
      <c r="AI163" s="30" t="s">
        <v>95</v>
      </c>
      <c r="AJ163" s="20">
        <f>IF(AN163=0,J163,0)</f>
        <v>0</v>
      </c>
      <c r="AK163" s="20">
        <f>IF(AN163=15,J163,0)</f>
        <v>0</v>
      </c>
      <c r="AL163" s="20">
        <f>IF(AN163=21,J163,0)</f>
        <v>0</v>
      </c>
      <c r="AN163" s="38">
        <v>21</v>
      </c>
      <c r="AO163" s="38">
        <f>G163*0.207442553191489</f>
        <v>0</v>
      </c>
      <c r="AP163" s="38">
        <f>G163*(1-0.207442553191489)</f>
        <v>0</v>
      </c>
      <c r="AQ163" s="34" t="s">
        <v>13</v>
      </c>
      <c r="AV163" s="38">
        <f>AW163+AX163</f>
        <v>0</v>
      </c>
      <c r="AW163" s="38">
        <f>F163*AO163</f>
        <v>0</v>
      </c>
      <c r="AX163" s="38">
        <f>F163*AP163</f>
        <v>0</v>
      </c>
      <c r="AY163" s="39" t="s">
        <v>373</v>
      </c>
      <c r="AZ163" s="39" t="s">
        <v>384</v>
      </c>
      <c r="BA163" s="30" t="s">
        <v>389</v>
      </c>
      <c r="BC163" s="38">
        <f>AW163+AX163</f>
        <v>0</v>
      </c>
      <c r="BD163" s="38">
        <f>G163/(100-BE163)*100</f>
        <v>0</v>
      </c>
      <c r="BE163" s="38">
        <v>0</v>
      </c>
      <c r="BF163" s="38">
        <f>L163</f>
        <v>1.0088624</v>
      </c>
      <c r="BH163" s="20">
        <f>F163*AO163</f>
        <v>0</v>
      </c>
      <c r="BI163" s="20">
        <f>F163*AP163</f>
        <v>0</v>
      </c>
      <c r="BJ163" s="20">
        <f>F163*G163</f>
        <v>0</v>
      </c>
    </row>
    <row r="164" spans="4:6" ht="12.75">
      <c r="D164" s="17" t="s">
        <v>290</v>
      </c>
      <c r="F164" s="21">
        <v>11.2</v>
      </c>
    </row>
    <row r="165" spans="4:6" ht="12.75">
      <c r="D165" s="17" t="s">
        <v>291</v>
      </c>
      <c r="F165" s="21">
        <v>12.46</v>
      </c>
    </row>
    <row r="166" spans="1:62" ht="12.75">
      <c r="A166" s="6" t="s">
        <v>61</v>
      </c>
      <c r="B166" s="6" t="s">
        <v>95</v>
      </c>
      <c r="C166" s="6" t="s">
        <v>155</v>
      </c>
      <c r="D166" s="6" t="s">
        <v>292</v>
      </c>
      <c r="E166" s="6" t="s">
        <v>334</v>
      </c>
      <c r="F166" s="22">
        <v>24.84</v>
      </c>
      <c r="G166" s="22">
        <v>0</v>
      </c>
      <c r="H166" s="22">
        <f>F166*AO166</f>
        <v>0</v>
      </c>
      <c r="I166" s="22">
        <f>F166*AP166</f>
        <v>0</v>
      </c>
      <c r="J166" s="22">
        <f>F166*G166</f>
        <v>0</v>
      </c>
      <c r="K166" s="22">
        <v>0.081</v>
      </c>
      <c r="L166" s="22">
        <f>F166*K166</f>
        <v>2.0120400000000003</v>
      </c>
      <c r="M166" s="67" t="s">
        <v>356</v>
      </c>
      <c r="Z166" s="38">
        <f>IF(AQ166="5",BJ166,0)</f>
        <v>0</v>
      </c>
      <c r="AB166" s="38">
        <f>IF(AQ166="1",BH166,0)</f>
        <v>0</v>
      </c>
      <c r="AC166" s="38">
        <f>IF(AQ166="1",BI166,0)</f>
        <v>0</v>
      </c>
      <c r="AD166" s="38">
        <f>IF(AQ166="7",BH166,0)</f>
        <v>0</v>
      </c>
      <c r="AE166" s="38">
        <f>IF(AQ166="7",BI166,0)</f>
        <v>0</v>
      </c>
      <c r="AF166" s="38">
        <f>IF(AQ166="2",BH166,0)</f>
        <v>0</v>
      </c>
      <c r="AG166" s="38">
        <f>IF(AQ166="2",BI166,0)</f>
        <v>0</v>
      </c>
      <c r="AH166" s="38">
        <f>IF(AQ166="0",BJ166,0)</f>
        <v>0</v>
      </c>
      <c r="AI166" s="30" t="s">
        <v>95</v>
      </c>
      <c r="AJ166" s="22">
        <f>IF(AN166=0,J166,0)</f>
        <v>0</v>
      </c>
      <c r="AK166" s="22">
        <f>IF(AN166=15,J166,0)</f>
        <v>0</v>
      </c>
      <c r="AL166" s="22">
        <f>IF(AN166=21,J166,0)</f>
        <v>0</v>
      </c>
      <c r="AN166" s="38">
        <v>21</v>
      </c>
      <c r="AO166" s="38">
        <f>G166*1</f>
        <v>0</v>
      </c>
      <c r="AP166" s="38">
        <f>G166*(1-1)</f>
        <v>0</v>
      </c>
      <c r="AQ166" s="35" t="s">
        <v>13</v>
      </c>
      <c r="AV166" s="38">
        <f>AW166+AX166</f>
        <v>0</v>
      </c>
      <c r="AW166" s="38">
        <f>F166*AO166</f>
        <v>0</v>
      </c>
      <c r="AX166" s="38">
        <f>F166*AP166</f>
        <v>0</v>
      </c>
      <c r="AY166" s="39" t="s">
        <v>373</v>
      </c>
      <c r="AZ166" s="39" t="s">
        <v>384</v>
      </c>
      <c r="BA166" s="30" t="s">
        <v>389</v>
      </c>
      <c r="BC166" s="38">
        <f>AW166+AX166</f>
        <v>0</v>
      </c>
      <c r="BD166" s="38">
        <f>G166/(100-BE166)*100</f>
        <v>0</v>
      </c>
      <c r="BE166" s="38">
        <v>0</v>
      </c>
      <c r="BF166" s="38">
        <f>L166</f>
        <v>2.0120400000000003</v>
      </c>
      <c r="BH166" s="22">
        <f>F166*AO166</f>
        <v>0</v>
      </c>
      <c r="BI166" s="22">
        <f>F166*AP166</f>
        <v>0</v>
      </c>
      <c r="BJ166" s="22">
        <f>F166*G166</f>
        <v>0</v>
      </c>
    </row>
    <row r="167" spans="4:6" ht="12.75">
      <c r="D167" s="17" t="s">
        <v>290</v>
      </c>
      <c r="F167" s="21">
        <v>11.2</v>
      </c>
    </row>
    <row r="168" spans="4:6" ht="12.75">
      <c r="D168" s="17" t="s">
        <v>291</v>
      </c>
      <c r="F168" s="21">
        <v>12.46</v>
      </c>
    </row>
    <row r="169" spans="4:6" ht="12.75">
      <c r="D169" s="17" t="s">
        <v>293</v>
      </c>
      <c r="F169" s="21">
        <v>1.18</v>
      </c>
    </row>
    <row r="170" spans="1:62" ht="12.75">
      <c r="A170" s="5" t="s">
        <v>62</v>
      </c>
      <c r="B170" s="5" t="s">
        <v>95</v>
      </c>
      <c r="C170" s="5" t="s">
        <v>156</v>
      </c>
      <c r="D170" s="5" t="s">
        <v>294</v>
      </c>
      <c r="E170" s="5" t="s">
        <v>333</v>
      </c>
      <c r="F170" s="20">
        <v>532.02</v>
      </c>
      <c r="G170" s="20">
        <v>0</v>
      </c>
      <c r="H170" s="20">
        <f>F170*AO170</f>
        <v>0</v>
      </c>
      <c r="I170" s="20">
        <f>F170*AP170</f>
        <v>0</v>
      </c>
      <c r="J170" s="20">
        <f>F170*G170</f>
        <v>0</v>
      </c>
      <c r="K170" s="20">
        <v>0</v>
      </c>
      <c r="L170" s="20">
        <f>F170*K170</f>
        <v>0</v>
      </c>
      <c r="M170" s="34" t="s">
        <v>356</v>
      </c>
      <c r="Z170" s="38">
        <f>IF(AQ170="5",BJ170,0)</f>
        <v>0</v>
      </c>
      <c r="AB170" s="38">
        <f>IF(AQ170="1",BH170,0)</f>
        <v>0</v>
      </c>
      <c r="AC170" s="38">
        <f>IF(AQ170="1",BI170,0)</f>
        <v>0</v>
      </c>
      <c r="AD170" s="38">
        <f>IF(AQ170="7",BH170,0)</f>
        <v>0</v>
      </c>
      <c r="AE170" s="38">
        <f>IF(AQ170="7",BI170,0)</f>
        <v>0</v>
      </c>
      <c r="AF170" s="38">
        <f>IF(AQ170="2",BH170,0)</f>
        <v>0</v>
      </c>
      <c r="AG170" s="38">
        <f>IF(AQ170="2",BI170,0)</f>
        <v>0</v>
      </c>
      <c r="AH170" s="38">
        <f>IF(AQ170="0",BJ170,0)</f>
        <v>0</v>
      </c>
      <c r="AI170" s="30" t="s">
        <v>95</v>
      </c>
      <c r="AJ170" s="20">
        <f>IF(AN170=0,J170,0)</f>
        <v>0</v>
      </c>
      <c r="AK170" s="20">
        <f>IF(AN170=15,J170,0)</f>
        <v>0</v>
      </c>
      <c r="AL170" s="20">
        <f>IF(AN170=21,J170,0)</f>
        <v>0</v>
      </c>
      <c r="AN170" s="38">
        <v>21</v>
      </c>
      <c r="AO170" s="38">
        <f>G170*0.05</f>
        <v>0</v>
      </c>
      <c r="AP170" s="38">
        <f>G170*(1-0.05)</f>
        <v>0</v>
      </c>
      <c r="AQ170" s="34" t="s">
        <v>13</v>
      </c>
      <c r="AV170" s="38">
        <f>AW170+AX170</f>
        <v>0</v>
      </c>
      <c r="AW170" s="38">
        <f>F170*AO170</f>
        <v>0</v>
      </c>
      <c r="AX170" s="38">
        <f>F170*AP170</f>
        <v>0</v>
      </c>
      <c r="AY170" s="39" t="s">
        <v>373</v>
      </c>
      <c r="AZ170" s="39" t="s">
        <v>384</v>
      </c>
      <c r="BA170" s="30" t="s">
        <v>389</v>
      </c>
      <c r="BC170" s="38">
        <f>AW170+AX170</f>
        <v>0</v>
      </c>
      <c r="BD170" s="38">
        <f>G170/(100-BE170)*100</f>
        <v>0</v>
      </c>
      <c r="BE170" s="38">
        <v>0</v>
      </c>
      <c r="BF170" s="38">
        <f>L170</f>
        <v>0</v>
      </c>
      <c r="BH170" s="20">
        <f>F170*AO170</f>
        <v>0</v>
      </c>
      <c r="BI170" s="20">
        <f>F170*AP170</f>
        <v>0</v>
      </c>
      <c r="BJ170" s="20">
        <f>F170*G170</f>
        <v>0</v>
      </c>
    </row>
    <row r="171" spans="4:6" ht="12.75">
      <c r="D171" s="17" t="s">
        <v>295</v>
      </c>
      <c r="F171" s="21">
        <v>123.76</v>
      </c>
    </row>
    <row r="172" spans="4:6" ht="12.75">
      <c r="D172" s="17" t="s">
        <v>296</v>
      </c>
      <c r="F172" s="21">
        <v>17.32</v>
      </c>
    </row>
    <row r="173" spans="4:6" ht="12.75">
      <c r="D173" s="17" t="s">
        <v>297</v>
      </c>
      <c r="F173" s="21">
        <v>92.99</v>
      </c>
    </row>
    <row r="174" spans="4:6" ht="12.75">
      <c r="D174" s="17" t="s">
        <v>298</v>
      </c>
      <c r="F174" s="21">
        <v>146.77</v>
      </c>
    </row>
    <row r="175" spans="4:6" ht="12.75">
      <c r="D175" s="17" t="s">
        <v>299</v>
      </c>
      <c r="F175" s="21">
        <v>151.18</v>
      </c>
    </row>
    <row r="176" spans="1:62" ht="12.75">
      <c r="A176" s="5" t="s">
        <v>63</v>
      </c>
      <c r="B176" s="5" t="s">
        <v>95</v>
      </c>
      <c r="C176" s="5" t="s">
        <v>157</v>
      </c>
      <c r="D176" s="5" t="s">
        <v>300</v>
      </c>
      <c r="E176" s="5" t="s">
        <v>338</v>
      </c>
      <c r="F176" s="20">
        <v>1</v>
      </c>
      <c r="G176" s="20">
        <v>0</v>
      </c>
      <c r="H176" s="20">
        <f>F176*AO176</f>
        <v>0</v>
      </c>
      <c r="I176" s="20">
        <f>F176*AP176</f>
        <v>0</v>
      </c>
      <c r="J176" s="20">
        <f>F176*G176</f>
        <v>0</v>
      </c>
      <c r="K176" s="20">
        <v>6E-05</v>
      </c>
      <c r="L176" s="20">
        <f>F176*K176</f>
        <v>6E-05</v>
      </c>
      <c r="M176" s="68" t="s">
        <v>356</v>
      </c>
      <c r="Z176" s="38">
        <f>IF(AQ176="5",BJ176,0)</f>
        <v>0</v>
      </c>
      <c r="AB176" s="38">
        <f>IF(AQ176="1",BH176,0)</f>
        <v>0</v>
      </c>
      <c r="AC176" s="38">
        <f>IF(AQ176="1",BI176,0)</f>
        <v>0</v>
      </c>
      <c r="AD176" s="38">
        <f>IF(AQ176="7",BH176,0)</f>
        <v>0</v>
      </c>
      <c r="AE176" s="38">
        <f>IF(AQ176="7",BI176,0)</f>
        <v>0</v>
      </c>
      <c r="AF176" s="38">
        <f>IF(AQ176="2",BH176,0)</f>
        <v>0</v>
      </c>
      <c r="AG176" s="38">
        <f>IF(AQ176="2",BI176,0)</f>
        <v>0</v>
      </c>
      <c r="AH176" s="38">
        <f>IF(AQ176="0",BJ176,0)</f>
        <v>0</v>
      </c>
      <c r="AI176" s="30" t="s">
        <v>95</v>
      </c>
      <c r="AJ176" s="20">
        <f>IF(AN176=0,J176,0)</f>
        <v>0</v>
      </c>
      <c r="AK176" s="20">
        <f>IF(AN176=15,J176,0)</f>
        <v>0</v>
      </c>
      <c r="AL176" s="20">
        <f>IF(AN176=21,J176,0)</f>
        <v>0</v>
      </c>
      <c r="AN176" s="38">
        <v>21</v>
      </c>
      <c r="AO176" s="38">
        <f>G176*0.311153846153846</f>
        <v>0</v>
      </c>
      <c r="AP176" s="38">
        <f>G176*(1-0.311153846153846)</f>
        <v>0</v>
      </c>
      <c r="AQ176" s="34" t="s">
        <v>13</v>
      </c>
      <c r="AV176" s="38">
        <f>AW176+AX176</f>
        <v>0</v>
      </c>
      <c r="AW176" s="38">
        <f>F176*AO176</f>
        <v>0</v>
      </c>
      <c r="AX176" s="38">
        <f>F176*AP176</f>
        <v>0</v>
      </c>
      <c r="AY176" s="39" t="s">
        <v>373</v>
      </c>
      <c r="AZ176" s="39" t="s">
        <v>384</v>
      </c>
      <c r="BA176" s="30" t="s">
        <v>389</v>
      </c>
      <c r="BC176" s="38">
        <f>AW176+AX176</f>
        <v>0</v>
      </c>
      <c r="BD176" s="38">
        <f>G176/(100-BE176)*100</f>
        <v>0</v>
      </c>
      <c r="BE176" s="38">
        <v>0</v>
      </c>
      <c r="BF176" s="38">
        <f>L176</f>
        <v>6E-05</v>
      </c>
      <c r="BH176" s="20">
        <f>F176*AO176</f>
        <v>0</v>
      </c>
      <c r="BI176" s="20">
        <f>F176*AP176</f>
        <v>0</v>
      </c>
      <c r="BJ176" s="20">
        <f>F176*G176</f>
        <v>0</v>
      </c>
    </row>
    <row r="177" spans="1:62" ht="12.75">
      <c r="A177" s="5" t="s">
        <v>64</v>
      </c>
      <c r="B177" s="5" t="s">
        <v>95</v>
      </c>
      <c r="C177" s="5" t="s">
        <v>158</v>
      </c>
      <c r="D177" s="5" t="s">
        <v>301</v>
      </c>
      <c r="E177" s="5" t="s">
        <v>335</v>
      </c>
      <c r="F177" s="20">
        <v>21.59</v>
      </c>
      <c r="G177" s="20">
        <v>0</v>
      </c>
      <c r="H177" s="20">
        <f>F177*AO177</f>
        <v>0</v>
      </c>
      <c r="I177" s="20">
        <f>F177*AP177</f>
        <v>0</v>
      </c>
      <c r="J177" s="20">
        <f>F177*G177</f>
        <v>0</v>
      </c>
      <c r="K177" s="20">
        <v>0</v>
      </c>
      <c r="L177" s="20">
        <f>F177*K177</f>
        <v>0</v>
      </c>
      <c r="M177" s="34" t="s">
        <v>355</v>
      </c>
      <c r="Z177" s="38">
        <f>IF(AQ177="5",BJ177,0)</f>
        <v>0</v>
      </c>
      <c r="AB177" s="38">
        <f>IF(AQ177="1",BH177,0)</f>
        <v>0</v>
      </c>
      <c r="AC177" s="38">
        <f>IF(AQ177="1",BI177,0)</f>
        <v>0</v>
      </c>
      <c r="AD177" s="38">
        <f>IF(AQ177="7",BH177,0)</f>
        <v>0</v>
      </c>
      <c r="AE177" s="38">
        <f>IF(AQ177="7",BI177,0)</f>
        <v>0</v>
      </c>
      <c r="AF177" s="38">
        <f>IF(AQ177="2",BH177,0)</f>
        <v>0</v>
      </c>
      <c r="AG177" s="38">
        <f>IF(AQ177="2",BI177,0)</f>
        <v>0</v>
      </c>
      <c r="AH177" s="38">
        <f>IF(AQ177="0",BJ177,0)</f>
        <v>0</v>
      </c>
      <c r="AI177" s="30" t="s">
        <v>95</v>
      </c>
      <c r="AJ177" s="20">
        <f>IF(AN177=0,J177,0)</f>
        <v>0</v>
      </c>
      <c r="AK177" s="20">
        <f>IF(AN177=15,J177,0)</f>
        <v>0</v>
      </c>
      <c r="AL177" s="20">
        <f>IF(AN177=21,J177,0)</f>
        <v>0</v>
      </c>
      <c r="AN177" s="38">
        <v>21</v>
      </c>
      <c r="AO177" s="38">
        <f>G177*0</f>
        <v>0</v>
      </c>
      <c r="AP177" s="38">
        <f>G177*(1-0)</f>
        <v>0</v>
      </c>
      <c r="AQ177" s="34" t="s">
        <v>11</v>
      </c>
      <c r="AV177" s="38">
        <f>AW177+AX177</f>
        <v>0</v>
      </c>
      <c r="AW177" s="38">
        <f>F177*AO177</f>
        <v>0</v>
      </c>
      <c r="AX177" s="38">
        <f>F177*AP177</f>
        <v>0</v>
      </c>
      <c r="AY177" s="39" t="s">
        <v>373</v>
      </c>
      <c r="AZ177" s="39" t="s">
        <v>384</v>
      </c>
      <c r="BA177" s="30" t="s">
        <v>389</v>
      </c>
      <c r="BC177" s="38">
        <f>AW177+AX177</f>
        <v>0</v>
      </c>
      <c r="BD177" s="38">
        <f>G177/(100-BE177)*100</f>
        <v>0</v>
      </c>
      <c r="BE177" s="38">
        <v>0</v>
      </c>
      <c r="BF177" s="38">
        <f>L177</f>
        <v>0</v>
      </c>
      <c r="BH177" s="20">
        <f>F177*AO177</f>
        <v>0</v>
      </c>
      <c r="BI177" s="20">
        <f>F177*AP177</f>
        <v>0</v>
      </c>
      <c r="BJ177" s="20">
        <f>F177*G177</f>
        <v>0</v>
      </c>
    </row>
    <row r="178" spans="1:47" ht="12.75">
      <c r="A178" s="4"/>
      <c r="B178" s="14" t="s">
        <v>95</v>
      </c>
      <c r="C178" s="14" t="s">
        <v>159</v>
      </c>
      <c r="D178" s="14" t="s">
        <v>302</v>
      </c>
      <c r="E178" s="4" t="s">
        <v>6</v>
      </c>
      <c r="F178" s="4" t="s">
        <v>6</v>
      </c>
      <c r="G178" s="4" t="s">
        <v>6</v>
      </c>
      <c r="H178" s="41">
        <f>SUM(H179:H203)</f>
        <v>0</v>
      </c>
      <c r="I178" s="41">
        <f>SUM(I179:I203)</f>
        <v>0</v>
      </c>
      <c r="J178" s="41">
        <f>SUM(J179:J203)</f>
        <v>0</v>
      </c>
      <c r="K178" s="30"/>
      <c r="L178" s="41">
        <f>SUM(L179:L203)</f>
        <v>21.606747800000004</v>
      </c>
      <c r="M178" s="30"/>
      <c r="AI178" s="30" t="s">
        <v>95</v>
      </c>
      <c r="AS178" s="41">
        <f>SUM(AJ179:AJ203)</f>
        <v>0</v>
      </c>
      <c r="AT178" s="41">
        <f>SUM(AK179:AK203)</f>
        <v>0</v>
      </c>
      <c r="AU178" s="41">
        <f>SUM(AL179:AL203)</f>
        <v>0</v>
      </c>
    </row>
    <row r="179" spans="1:62" ht="12.75">
      <c r="A179" s="5" t="s">
        <v>65</v>
      </c>
      <c r="B179" s="5" t="s">
        <v>95</v>
      </c>
      <c r="C179" s="5" t="s">
        <v>160</v>
      </c>
      <c r="D179" s="5" t="s">
        <v>303</v>
      </c>
      <c r="E179" s="5" t="s">
        <v>334</v>
      </c>
      <c r="F179" s="20">
        <v>90.67</v>
      </c>
      <c r="G179" s="20">
        <v>0</v>
      </c>
      <c r="H179" s="20">
        <f>F179*AO179</f>
        <v>0</v>
      </c>
      <c r="I179" s="20">
        <f>F179*AP179</f>
        <v>0</v>
      </c>
      <c r="J179" s="20">
        <f>F179*G179</f>
        <v>0</v>
      </c>
      <c r="K179" s="20">
        <v>0.18334</v>
      </c>
      <c r="L179" s="20">
        <f>F179*K179</f>
        <v>16.6234378</v>
      </c>
      <c r="M179" s="34" t="s">
        <v>355</v>
      </c>
      <c r="Z179" s="38">
        <f>IF(AQ179="5",BJ179,0)</f>
        <v>0</v>
      </c>
      <c r="AB179" s="38">
        <f>IF(AQ179="1",BH179,0)</f>
        <v>0</v>
      </c>
      <c r="AC179" s="38">
        <f>IF(AQ179="1",BI179,0)</f>
        <v>0</v>
      </c>
      <c r="AD179" s="38">
        <f>IF(AQ179="7",BH179,0)</f>
        <v>0</v>
      </c>
      <c r="AE179" s="38">
        <f>IF(AQ179="7",BI179,0)</f>
        <v>0</v>
      </c>
      <c r="AF179" s="38">
        <f>IF(AQ179="2",BH179,0)</f>
        <v>0</v>
      </c>
      <c r="AG179" s="38">
        <f>IF(AQ179="2",BI179,0)</f>
        <v>0</v>
      </c>
      <c r="AH179" s="38">
        <f>IF(AQ179="0",BJ179,0)</f>
        <v>0</v>
      </c>
      <c r="AI179" s="30" t="s">
        <v>95</v>
      </c>
      <c r="AJ179" s="20">
        <f>IF(AN179=0,J179,0)</f>
        <v>0</v>
      </c>
      <c r="AK179" s="20">
        <f>IF(AN179=15,J179,0)</f>
        <v>0</v>
      </c>
      <c r="AL179" s="20">
        <f>IF(AN179=21,J179,0)</f>
        <v>0</v>
      </c>
      <c r="AN179" s="38">
        <v>21</v>
      </c>
      <c r="AO179" s="38">
        <f>G179*0.0485945544288135</f>
        <v>0</v>
      </c>
      <c r="AP179" s="38">
        <f>G179*(1-0.0485945544288135)</f>
        <v>0</v>
      </c>
      <c r="AQ179" s="34" t="s">
        <v>7</v>
      </c>
      <c r="AV179" s="38">
        <f>AW179+AX179</f>
        <v>0</v>
      </c>
      <c r="AW179" s="38">
        <f>F179*AO179</f>
        <v>0</v>
      </c>
      <c r="AX179" s="38">
        <f>F179*AP179</f>
        <v>0</v>
      </c>
      <c r="AY179" s="39" t="s">
        <v>374</v>
      </c>
      <c r="AZ179" s="39" t="s">
        <v>385</v>
      </c>
      <c r="BA179" s="30" t="s">
        <v>389</v>
      </c>
      <c r="BC179" s="38">
        <f>AW179+AX179</f>
        <v>0</v>
      </c>
      <c r="BD179" s="38">
        <f>G179/(100-BE179)*100</f>
        <v>0</v>
      </c>
      <c r="BE179" s="38">
        <v>0</v>
      </c>
      <c r="BF179" s="38">
        <f>L179</f>
        <v>16.6234378</v>
      </c>
      <c r="BH179" s="20">
        <f>F179*AO179</f>
        <v>0</v>
      </c>
      <c r="BI179" s="20">
        <f>F179*AP179</f>
        <v>0</v>
      </c>
      <c r="BJ179" s="20">
        <f>F179*G179</f>
        <v>0</v>
      </c>
    </row>
    <row r="180" spans="4:6" ht="12.75">
      <c r="D180" s="17" t="s">
        <v>290</v>
      </c>
      <c r="F180" s="21">
        <v>11.2</v>
      </c>
    </row>
    <row r="181" spans="4:6" ht="12.75">
      <c r="D181" s="17" t="s">
        <v>291</v>
      </c>
      <c r="F181" s="21">
        <v>12.46</v>
      </c>
    </row>
    <row r="182" spans="4:6" ht="12.75">
      <c r="D182" s="17" t="s">
        <v>282</v>
      </c>
      <c r="F182" s="21">
        <v>16.37</v>
      </c>
    </row>
    <row r="183" spans="4:6" ht="12.75">
      <c r="D183" s="17" t="s">
        <v>283</v>
      </c>
      <c r="F183" s="21">
        <v>15.17</v>
      </c>
    </row>
    <row r="184" spans="4:6" ht="12.75">
      <c r="D184" s="17" t="s">
        <v>284</v>
      </c>
      <c r="F184" s="21">
        <v>1.79</v>
      </c>
    </row>
    <row r="185" spans="4:6" ht="12.75">
      <c r="D185" s="17" t="s">
        <v>285</v>
      </c>
      <c r="F185" s="21">
        <v>28.74</v>
      </c>
    </row>
    <row r="186" spans="4:6" ht="12.75">
      <c r="D186" s="17" t="s">
        <v>286</v>
      </c>
      <c r="F186" s="21">
        <v>4.94</v>
      </c>
    </row>
    <row r="187" spans="1:62" ht="12.75">
      <c r="A187" s="5" t="s">
        <v>66</v>
      </c>
      <c r="B187" s="5" t="s">
        <v>95</v>
      </c>
      <c r="C187" s="5" t="s">
        <v>161</v>
      </c>
      <c r="D187" s="5" t="s">
        <v>304</v>
      </c>
      <c r="E187" s="5" t="s">
        <v>334</v>
      </c>
      <c r="F187" s="20">
        <v>47.27</v>
      </c>
      <c r="G187" s="20">
        <v>0</v>
      </c>
      <c r="H187" s="20">
        <f>F187*AO187</f>
        <v>0</v>
      </c>
      <c r="I187" s="20">
        <f>F187*AP187</f>
        <v>0</v>
      </c>
      <c r="J187" s="20">
        <f>F187*G187</f>
        <v>0</v>
      </c>
      <c r="K187" s="20">
        <v>0.059</v>
      </c>
      <c r="L187" s="20">
        <f>F187*K187</f>
        <v>2.78893</v>
      </c>
      <c r="M187" s="34" t="s">
        <v>355</v>
      </c>
      <c r="Z187" s="38">
        <f>IF(AQ187="5",BJ187,0)</f>
        <v>0</v>
      </c>
      <c r="AB187" s="38">
        <f>IF(AQ187="1",BH187,0)</f>
        <v>0</v>
      </c>
      <c r="AC187" s="38">
        <f>IF(AQ187="1",BI187,0)</f>
        <v>0</v>
      </c>
      <c r="AD187" s="38">
        <f>IF(AQ187="7",BH187,0)</f>
        <v>0</v>
      </c>
      <c r="AE187" s="38">
        <f>IF(AQ187="7",BI187,0)</f>
        <v>0</v>
      </c>
      <c r="AF187" s="38">
        <f>IF(AQ187="2",BH187,0)</f>
        <v>0</v>
      </c>
      <c r="AG187" s="38">
        <f>IF(AQ187="2",BI187,0)</f>
        <v>0</v>
      </c>
      <c r="AH187" s="38">
        <f>IF(AQ187="0",BJ187,0)</f>
        <v>0</v>
      </c>
      <c r="AI187" s="30" t="s">
        <v>95</v>
      </c>
      <c r="AJ187" s="20">
        <f>IF(AN187=0,J187,0)</f>
        <v>0</v>
      </c>
      <c r="AK187" s="20">
        <f>IF(AN187=15,J187,0)</f>
        <v>0</v>
      </c>
      <c r="AL187" s="20">
        <f>IF(AN187=21,J187,0)</f>
        <v>0</v>
      </c>
      <c r="AN187" s="38">
        <v>21</v>
      </c>
      <c r="AO187" s="38">
        <f>G187*0</f>
        <v>0</v>
      </c>
      <c r="AP187" s="38">
        <f>G187*(1-0)</f>
        <v>0</v>
      </c>
      <c r="AQ187" s="34" t="s">
        <v>7</v>
      </c>
      <c r="AV187" s="38">
        <f>AW187+AX187</f>
        <v>0</v>
      </c>
      <c r="AW187" s="38">
        <f>F187*AO187</f>
        <v>0</v>
      </c>
      <c r="AX187" s="38">
        <f>F187*AP187</f>
        <v>0</v>
      </c>
      <c r="AY187" s="39" t="s">
        <v>374</v>
      </c>
      <c r="AZ187" s="39" t="s">
        <v>385</v>
      </c>
      <c r="BA187" s="30" t="s">
        <v>389</v>
      </c>
      <c r="BC187" s="38">
        <f>AW187+AX187</f>
        <v>0</v>
      </c>
      <c r="BD187" s="38">
        <f>G187/(100-BE187)*100</f>
        <v>0</v>
      </c>
      <c r="BE187" s="38">
        <v>0</v>
      </c>
      <c r="BF187" s="38">
        <f>L187</f>
        <v>2.78893</v>
      </c>
      <c r="BH187" s="20">
        <f>F187*AO187</f>
        <v>0</v>
      </c>
      <c r="BI187" s="20">
        <f>F187*AP187</f>
        <v>0</v>
      </c>
      <c r="BJ187" s="20">
        <f>F187*G187</f>
        <v>0</v>
      </c>
    </row>
    <row r="188" spans="4:6" ht="12.75">
      <c r="D188" s="17" t="s">
        <v>219</v>
      </c>
      <c r="F188" s="21">
        <v>37.84</v>
      </c>
    </row>
    <row r="189" spans="4:6" ht="12.75">
      <c r="D189" s="17" t="s">
        <v>220</v>
      </c>
      <c r="F189" s="21">
        <v>9.43</v>
      </c>
    </row>
    <row r="190" spans="1:62" ht="12.75">
      <c r="A190" s="5" t="s">
        <v>67</v>
      </c>
      <c r="B190" s="5" t="s">
        <v>95</v>
      </c>
      <c r="C190" s="5" t="s">
        <v>162</v>
      </c>
      <c r="D190" s="5" t="s">
        <v>305</v>
      </c>
      <c r="E190" s="5" t="s">
        <v>334</v>
      </c>
      <c r="F190" s="20">
        <v>90.67</v>
      </c>
      <c r="G190" s="20">
        <v>0</v>
      </c>
      <c r="H190" s="20">
        <f>F190*AO190</f>
        <v>0</v>
      </c>
      <c r="I190" s="20">
        <f>F190*AP190</f>
        <v>0</v>
      </c>
      <c r="J190" s="20">
        <f>F190*G190</f>
        <v>0</v>
      </c>
      <c r="K190" s="20">
        <v>0.014</v>
      </c>
      <c r="L190" s="20">
        <f>F190*K190</f>
        <v>1.26938</v>
      </c>
      <c r="M190" s="34" t="s">
        <v>355</v>
      </c>
      <c r="Z190" s="38">
        <f>IF(AQ190="5",BJ190,0)</f>
        <v>0</v>
      </c>
      <c r="AB190" s="38">
        <f>IF(AQ190="1",BH190,0)</f>
        <v>0</v>
      </c>
      <c r="AC190" s="38">
        <f>IF(AQ190="1",BI190,0)</f>
        <v>0</v>
      </c>
      <c r="AD190" s="38">
        <f>IF(AQ190="7",BH190,0)</f>
        <v>0</v>
      </c>
      <c r="AE190" s="38">
        <f>IF(AQ190="7",BI190,0)</f>
        <v>0</v>
      </c>
      <c r="AF190" s="38">
        <f>IF(AQ190="2",BH190,0)</f>
        <v>0</v>
      </c>
      <c r="AG190" s="38">
        <f>IF(AQ190="2",BI190,0)</f>
        <v>0</v>
      </c>
      <c r="AH190" s="38">
        <f>IF(AQ190="0",BJ190,0)</f>
        <v>0</v>
      </c>
      <c r="AI190" s="30" t="s">
        <v>95</v>
      </c>
      <c r="AJ190" s="20">
        <f>IF(AN190=0,J190,0)</f>
        <v>0</v>
      </c>
      <c r="AK190" s="20">
        <f>IF(AN190=15,J190,0)</f>
        <v>0</v>
      </c>
      <c r="AL190" s="20">
        <f>IF(AN190=21,J190,0)</f>
        <v>0</v>
      </c>
      <c r="AN190" s="38">
        <v>21</v>
      </c>
      <c r="AO190" s="38">
        <f>G190*0</f>
        <v>0</v>
      </c>
      <c r="AP190" s="38">
        <f>G190*(1-0)</f>
        <v>0</v>
      </c>
      <c r="AQ190" s="34" t="s">
        <v>7</v>
      </c>
      <c r="AV190" s="38">
        <f>AW190+AX190</f>
        <v>0</v>
      </c>
      <c r="AW190" s="38">
        <f>F190*AO190</f>
        <v>0</v>
      </c>
      <c r="AX190" s="38">
        <f>F190*AP190</f>
        <v>0</v>
      </c>
      <c r="AY190" s="39" t="s">
        <v>374</v>
      </c>
      <c r="AZ190" s="39" t="s">
        <v>385</v>
      </c>
      <c r="BA190" s="30" t="s">
        <v>389</v>
      </c>
      <c r="BC190" s="38">
        <f>AW190+AX190</f>
        <v>0</v>
      </c>
      <c r="BD190" s="38">
        <f>G190/(100-BE190)*100</f>
        <v>0</v>
      </c>
      <c r="BE190" s="38">
        <v>0</v>
      </c>
      <c r="BF190" s="38">
        <f>L190</f>
        <v>1.26938</v>
      </c>
      <c r="BH190" s="20">
        <f>F190*AO190</f>
        <v>0</v>
      </c>
      <c r="BI190" s="20">
        <f>F190*AP190</f>
        <v>0</v>
      </c>
      <c r="BJ190" s="20">
        <f>F190*G190</f>
        <v>0</v>
      </c>
    </row>
    <row r="191" spans="4:6" ht="12.75">
      <c r="D191" s="17" t="s">
        <v>290</v>
      </c>
      <c r="F191" s="21">
        <v>11.2</v>
      </c>
    </row>
    <row r="192" spans="4:6" ht="12.75">
      <c r="D192" s="17" t="s">
        <v>291</v>
      </c>
      <c r="F192" s="21">
        <v>12.46</v>
      </c>
    </row>
    <row r="193" spans="4:6" ht="12.75">
      <c r="D193" s="17" t="s">
        <v>282</v>
      </c>
      <c r="F193" s="21">
        <v>16.37</v>
      </c>
    </row>
    <row r="194" spans="4:6" ht="12.75">
      <c r="D194" s="17" t="s">
        <v>283</v>
      </c>
      <c r="F194" s="21">
        <v>15.17</v>
      </c>
    </row>
    <row r="195" spans="4:6" ht="12.75">
      <c r="D195" s="17" t="s">
        <v>284</v>
      </c>
      <c r="F195" s="21">
        <v>1.79</v>
      </c>
    </row>
    <row r="196" spans="4:6" ht="12.75">
      <c r="D196" s="17" t="s">
        <v>285</v>
      </c>
      <c r="F196" s="21">
        <v>28.74</v>
      </c>
    </row>
    <row r="197" spans="4:6" ht="12.75">
      <c r="D197" s="17" t="s">
        <v>286</v>
      </c>
      <c r="F197" s="21">
        <v>4.94</v>
      </c>
    </row>
    <row r="198" spans="1:62" ht="12.75">
      <c r="A198" s="5" t="s">
        <v>68</v>
      </c>
      <c r="B198" s="5" t="s">
        <v>95</v>
      </c>
      <c r="C198" s="5" t="s">
        <v>163</v>
      </c>
      <c r="D198" s="5" t="s">
        <v>306</v>
      </c>
      <c r="E198" s="5" t="s">
        <v>333</v>
      </c>
      <c r="F198" s="20">
        <v>2.5</v>
      </c>
      <c r="G198" s="20">
        <v>0</v>
      </c>
      <c r="H198" s="20">
        <f>F198*AO198</f>
        <v>0</v>
      </c>
      <c r="I198" s="20">
        <f>F198*AP198</f>
        <v>0</v>
      </c>
      <c r="J198" s="20">
        <f>F198*G198</f>
        <v>0</v>
      </c>
      <c r="K198" s="20">
        <v>0.37</v>
      </c>
      <c r="L198" s="20">
        <f>F198*K198</f>
        <v>0.925</v>
      </c>
      <c r="M198" s="34" t="s">
        <v>355</v>
      </c>
      <c r="Z198" s="38">
        <f>IF(AQ198="5",BJ198,0)</f>
        <v>0</v>
      </c>
      <c r="AB198" s="38">
        <f>IF(AQ198="1",BH198,0)</f>
        <v>0</v>
      </c>
      <c r="AC198" s="38">
        <f>IF(AQ198="1",BI198,0)</f>
        <v>0</v>
      </c>
      <c r="AD198" s="38">
        <f>IF(AQ198="7",BH198,0)</f>
        <v>0</v>
      </c>
      <c r="AE198" s="38">
        <f>IF(AQ198="7",BI198,0)</f>
        <v>0</v>
      </c>
      <c r="AF198" s="38">
        <f>IF(AQ198="2",BH198,0)</f>
        <v>0</v>
      </c>
      <c r="AG198" s="38">
        <f>IF(AQ198="2",BI198,0)</f>
        <v>0</v>
      </c>
      <c r="AH198" s="38">
        <f>IF(AQ198="0",BJ198,0)</f>
        <v>0</v>
      </c>
      <c r="AI198" s="30" t="s">
        <v>95</v>
      </c>
      <c r="AJ198" s="20">
        <f>IF(AN198=0,J198,0)</f>
        <v>0</v>
      </c>
      <c r="AK198" s="20">
        <f>IF(AN198=15,J198,0)</f>
        <v>0</v>
      </c>
      <c r="AL198" s="20">
        <f>IF(AN198=21,J198,0)</f>
        <v>0</v>
      </c>
      <c r="AN198" s="38">
        <v>21</v>
      </c>
      <c r="AO198" s="38">
        <f>G198*0</f>
        <v>0</v>
      </c>
      <c r="AP198" s="38">
        <f>G198*(1-0)</f>
        <v>0</v>
      </c>
      <c r="AQ198" s="34" t="s">
        <v>7</v>
      </c>
      <c r="AV198" s="38">
        <f>AW198+AX198</f>
        <v>0</v>
      </c>
      <c r="AW198" s="38">
        <f>F198*AO198</f>
        <v>0</v>
      </c>
      <c r="AX198" s="38">
        <f>F198*AP198</f>
        <v>0</v>
      </c>
      <c r="AY198" s="39" t="s">
        <v>374</v>
      </c>
      <c r="AZ198" s="39" t="s">
        <v>385</v>
      </c>
      <c r="BA198" s="30" t="s">
        <v>389</v>
      </c>
      <c r="BC198" s="38">
        <f>AW198+AX198</f>
        <v>0</v>
      </c>
      <c r="BD198" s="38">
        <f>G198/(100-BE198)*100</f>
        <v>0</v>
      </c>
      <c r="BE198" s="38">
        <v>0</v>
      </c>
      <c r="BF198" s="38">
        <f>L198</f>
        <v>0.925</v>
      </c>
      <c r="BH198" s="20">
        <f>F198*AO198</f>
        <v>0</v>
      </c>
      <c r="BI198" s="20">
        <f>F198*AP198</f>
        <v>0</v>
      </c>
      <c r="BJ198" s="20">
        <f>F198*G198</f>
        <v>0</v>
      </c>
    </row>
    <row r="199" spans="1:62" ht="12.75">
      <c r="A199" s="5" t="s">
        <v>69</v>
      </c>
      <c r="B199" s="5" t="s">
        <v>95</v>
      </c>
      <c r="C199" s="5" t="s">
        <v>164</v>
      </c>
      <c r="D199" s="5" t="s">
        <v>307</v>
      </c>
      <c r="E199" s="5" t="s">
        <v>335</v>
      </c>
      <c r="F199" s="20">
        <v>21.61</v>
      </c>
      <c r="G199" s="20">
        <v>0</v>
      </c>
      <c r="H199" s="20">
        <f>F199*AO199</f>
        <v>0</v>
      </c>
      <c r="I199" s="20">
        <f>F199*AP199</f>
        <v>0</v>
      </c>
      <c r="J199" s="20">
        <f>F199*G199</f>
        <v>0</v>
      </c>
      <c r="K199" s="20">
        <v>0</v>
      </c>
      <c r="L199" s="20">
        <f>F199*K199</f>
        <v>0</v>
      </c>
      <c r="M199" s="34" t="s">
        <v>355</v>
      </c>
      <c r="Z199" s="38">
        <f>IF(AQ199="5",BJ199,0)</f>
        <v>0</v>
      </c>
      <c r="AB199" s="38">
        <f>IF(AQ199="1",BH199,0)</f>
        <v>0</v>
      </c>
      <c r="AC199" s="38">
        <f>IF(AQ199="1",BI199,0)</f>
        <v>0</v>
      </c>
      <c r="AD199" s="38">
        <f>IF(AQ199="7",BH199,0)</f>
        <v>0</v>
      </c>
      <c r="AE199" s="38">
        <f>IF(AQ199="7",BI199,0)</f>
        <v>0</v>
      </c>
      <c r="AF199" s="38">
        <f>IF(AQ199="2",BH199,0)</f>
        <v>0</v>
      </c>
      <c r="AG199" s="38">
        <f>IF(AQ199="2",BI199,0)</f>
        <v>0</v>
      </c>
      <c r="AH199" s="38">
        <f>IF(AQ199="0",BJ199,0)</f>
        <v>0</v>
      </c>
      <c r="AI199" s="30" t="s">
        <v>95</v>
      </c>
      <c r="AJ199" s="20">
        <f>IF(AN199=0,J199,0)</f>
        <v>0</v>
      </c>
      <c r="AK199" s="20">
        <f>IF(AN199=15,J199,0)</f>
        <v>0</v>
      </c>
      <c r="AL199" s="20">
        <f>IF(AN199=21,J199,0)</f>
        <v>0</v>
      </c>
      <c r="AN199" s="38">
        <v>21</v>
      </c>
      <c r="AO199" s="38">
        <f>G199*0</f>
        <v>0</v>
      </c>
      <c r="AP199" s="38">
        <f>G199*(1-0)</f>
        <v>0</v>
      </c>
      <c r="AQ199" s="34" t="s">
        <v>11</v>
      </c>
      <c r="AV199" s="38">
        <f>AW199+AX199</f>
        <v>0</v>
      </c>
      <c r="AW199" s="38">
        <f>F199*AO199</f>
        <v>0</v>
      </c>
      <c r="AX199" s="38">
        <f>F199*AP199</f>
        <v>0</v>
      </c>
      <c r="AY199" s="39" t="s">
        <v>374</v>
      </c>
      <c r="AZ199" s="39" t="s">
        <v>385</v>
      </c>
      <c r="BA199" s="30" t="s">
        <v>389</v>
      </c>
      <c r="BC199" s="38">
        <f>AW199+AX199</f>
        <v>0</v>
      </c>
      <c r="BD199" s="38">
        <f>G199/(100-BE199)*100</f>
        <v>0</v>
      </c>
      <c r="BE199" s="38">
        <v>0</v>
      </c>
      <c r="BF199" s="38">
        <f>L199</f>
        <v>0</v>
      </c>
      <c r="BH199" s="20">
        <f>F199*AO199</f>
        <v>0</v>
      </c>
      <c r="BI199" s="20">
        <f>F199*AP199</f>
        <v>0</v>
      </c>
      <c r="BJ199" s="20">
        <f>F199*G199</f>
        <v>0</v>
      </c>
    </row>
    <row r="200" spans="1:62" ht="12.75">
      <c r="A200" s="5" t="s">
        <v>70</v>
      </c>
      <c r="B200" s="5" t="s">
        <v>95</v>
      </c>
      <c r="C200" s="5" t="s">
        <v>165</v>
      </c>
      <c r="D200" s="5" t="s">
        <v>308</v>
      </c>
      <c r="E200" s="5" t="s">
        <v>335</v>
      </c>
      <c r="F200" s="20">
        <v>21.61</v>
      </c>
      <c r="G200" s="20">
        <v>0</v>
      </c>
      <c r="H200" s="20">
        <f>F200*AO200</f>
        <v>0</v>
      </c>
      <c r="I200" s="20">
        <f>F200*AP200</f>
        <v>0</v>
      </c>
      <c r="J200" s="20">
        <f>F200*G200</f>
        <v>0</v>
      </c>
      <c r="K200" s="20">
        <v>0</v>
      </c>
      <c r="L200" s="20">
        <f>F200*K200</f>
        <v>0</v>
      </c>
      <c r="M200" s="34" t="s">
        <v>355</v>
      </c>
      <c r="Z200" s="38">
        <f>IF(AQ200="5",BJ200,0)</f>
        <v>0</v>
      </c>
      <c r="AB200" s="38">
        <f>IF(AQ200="1",BH200,0)</f>
        <v>0</v>
      </c>
      <c r="AC200" s="38">
        <f>IF(AQ200="1",BI200,0)</f>
        <v>0</v>
      </c>
      <c r="AD200" s="38">
        <f>IF(AQ200="7",BH200,0)</f>
        <v>0</v>
      </c>
      <c r="AE200" s="38">
        <f>IF(AQ200="7",BI200,0)</f>
        <v>0</v>
      </c>
      <c r="AF200" s="38">
        <f>IF(AQ200="2",BH200,0)</f>
        <v>0</v>
      </c>
      <c r="AG200" s="38">
        <f>IF(AQ200="2",BI200,0)</f>
        <v>0</v>
      </c>
      <c r="AH200" s="38">
        <f>IF(AQ200="0",BJ200,0)</f>
        <v>0</v>
      </c>
      <c r="AI200" s="30" t="s">
        <v>95</v>
      </c>
      <c r="AJ200" s="20">
        <f>IF(AN200=0,J200,0)</f>
        <v>0</v>
      </c>
      <c r="AK200" s="20">
        <f>IF(AN200=15,J200,0)</f>
        <v>0</v>
      </c>
      <c r="AL200" s="20">
        <f>IF(AN200=21,J200,0)</f>
        <v>0</v>
      </c>
      <c r="AN200" s="38">
        <v>21</v>
      </c>
      <c r="AO200" s="38">
        <f>G200*0</f>
        <v>0</v>
      </c>
      <c r="AP200" s="38">
        <f>G200*(1-0)</f>
        <v>0</v>
      </c>
      <c r="AQ200" s="34" t="s">
        <v>11</v>
      </c>
      <c r="AV200" s="38">
        <f>AW200+AX200</f>
        <v>0</v>
      </c>
      <c r="AW200" s="38">
        <f>F200*AO200</f>
        <v>0</v>
      </c>
      <c r="AX200" s="38">
        <f>F200*AP200</f>
        <v>0</v>
      </c>
      <c r="AY200" s="39" t="s">
        <v>374</v>
      </c>
      <c r="AZ200" s="39" t="s">
        <v>385</v>
      </c>
      <c r="BA200" s="30" t="s">
        <v>389</v>
      </c>
      <c r="BC200" s="38">
        <f>AW200+AX200</f>
        <v>0</v>
      </c>
      <c r="BD200" s="38">
        <f>G200/(100-BE200)*100</f>
        <v>0</v>
      </c>
      <c r="BE200" s="38">
        <v>0</v>
      </c>
      <c r="BF200" s="38">
        <f>L200</f>
        <v>0</v>
      </c>
      <c r="BH200" s="20">
        <f>F200*AO200</f>
        <v>0</v>
      </c>
      <c r="BI200" s="20">
        <f>F200*AP200</f>
        <v>0</v>
      </c>
      <c r="BJ200" s="20">
        <f>F200*G200</f>
        <v>0</v>
      </c>
    </row>
    <row r="201" spans="1:62" ht="12.75">
      <c r="A201" s="5" t="s">
        <v>71</v>
      </c>
      <c r="B201" s="5" t="s">
        <v>95</v>
      </c>
      <c r="C201" s="5" t="s">
        <v>166</v>
      </c>
      <c r="D201" s="5" t="s">
        <v>309</v>
      </c>
      <c r="E201" s="5" t="s">
        <v>335</v>
      </c>
      <c r="F201" s="20">
        <v>194.49</v>
      </c>
      <c r="G201" s="20">
        <v>0</v>
      </c>
      <c r="H201" s="20">
        <f>F201*AO201</f>
        <v>0</v>
      </c>
      <c r="I201" s="20">
        <f>F201*AP201</f>
        <v>0</v>
      </c>
      <c r="J201" s="20">
        <f>F201*G201</f>
        <v>0</v>
      </c>
      <c r="K201" s="20">
        <v>0</v>
      </c>
      <c r="L201" s="20">
        <f>F201*K201</f>
        <v>0</v>
      </c>
      <c r="M201" s="34" t="s">
        <v>355</v>
      </c>
      <c r="Z201" s="38">
        <f>IF(AQ201="5",BJ201,0)</f>
        <v>0</v>
      </c>
      <c r="AB201" s="38">
        <f>IF(AQ201="1",BH201,0)</f>
        <v>0</v>
      </c>
      <c r="AC201" s="38">
        <f>IF(AQ201="1",BI201,0)</f>
        <v>0</v>
      </c>
      <c r="AD201" s="38">
        <f>IF(AQ201="7",BH201,0)</f>
        <v>0</v>
      </c>
      <c r="AE201" s="38">
        <f>IF(AQ201="7",BI201,0)</f>
        <v>0</v>
      </c>
      <c r="AF201" s="38">
        <f>IF(AQ201="2",BH201,0)</f>
        <v>0</v>
      </c>
      <c r="AG201" s="38">
        <f>IF(AQ201="2",BI201,0)</f>
        <v>0</v>
      </c>
      <c r="AH201" s="38">
        <f>IF(AQ201="0",BJ201,0)</f>
        <v>0</v>
      </c>
      <c r="AI201" s="30" t="s">
        <v>95</v>
      </c>
      <c r="AJ201" s="20">
        <f>IF(AN201=0,J201,0)</f>
        <v>0</v>
      </c>
      <c r="AK201" s="20">
        <f>IF(AN201=15,J201,0)</f>
        <v>0</v>
      </c>
      <c r="AL201" s="20">
        <f>IF(AN201=21,J201,0)</f>
        <v>0</v>
      </c>
      <c r="AN201" s="38">
        <v>21</v>
      </c>
      <c r="AO201" s="38">
        <f>G201*0</f>
        <v>0</v>
      </c>
      <c r="AP201" s="38">
        <f>G201*(1-0)</f>
        <v>0</v>
      </c>
      <c r="AQ201" s="34" t="s">
        <v>11</v>
      </c>
      <c r="AV201" s="38">
        <f>AW201+AX201</f>
        <v>0</v>
      </c>
      <c r="AW201" s="38">
        <f>F201*AO201</f>
        <v>0</v>
      </c>
      <c r="AX201" s="38">
        <f>F201*AP201</f>
        <v>0</v>
      </c>
      <c r="AY201" s="39" t="s">
        <v>374</v>
      </c>
      <c r="AZ201" s="39" t="s">
        <v>385</v>
      </c>
      <c r="BA201" s="30" t="s">
        <v>389</v>
      </c>
      <c r="BC201" s="38">
        <f>AW201+AX201</f>
        <v>0</v>
      </c>
      <c r="BD201" s="38">
        <f>G201/(100-BE201)*100</f>
        <v>0</v>
      </c>
      <c r="BE201" s="38">
        <v>0</v>
      </c>
      <c r="BF201" s="38">
        <f>L201</f>
        <v>0</v>
      </c>
      <c r="BH201" s="20">
        <f>F201*AO201</f>
        <v>0</v>
      </c>
      <c r="BI201" s="20">
        <f>F201*AP201</f>
        <v>0</v>
      </c>
      <c r="BJ201" s="20">
        <f>F201*G201</f>
        <v>0</v>
      </c>
    </row>
    <row r="202" spans="4:6" ht="12.75">
      <c r="D202" s="17" t="s">
        <v>310</v>
      </c>
      <c r="F202" s="21">
        <v>194.49</v>
      </c>
    </row>
    <row r="203" spans="1:62" ht="12.75">
      <c r="A203" s="5" t="s">
        <v>72</v>
      </c>
      <c r="B203" s="5" t="s">
        <v>95</v>
      </c>
      <c r="C203" s="5" t="s">
        <v>167</v>
      </c>
      <c r="D203" s="5" t="s">
        <v>311</v>
      </c>
      <c r="E203" s="5" t="s">
        <v>335</v>
      </c>
      <c r="F203" s="20">
        <v>21.61</v>
      </c>
      <c r="G203" s="20">
        <v>0</v>
      </c>
      <c r="H203" s="20">
        <f>F203*AO203</f>
        <v>0</v>
      </c>
      <c r="I203" s="20">
        <f>F203*AP203</f>
        <v>0</v>
      </c>
      <c r="J203" s="20">
        <f>F203*G203</f>
        <v>0</v>
      </c>
      <c r="K203" s="20">
        <v>0</v>
      </c>
      <c r="L203" s="20">
        <f>F203*K203</f>
        <v>0</v>
      </c>
      <c r="M203" s="34" t="s">
        <v>355</v>
      </c>
      <c r="Z203" s="38">
        <f>IF(AQ203="5",BJ203,0)</f>
        <v>0</v>
      </c>
      <c r="AB203" s="38">
        <f>IF(AQ203="1",BH203,0)</f>
        <v>0</v>
      </c>
      <c r="AC203" s="38">
        <f>IF(AQ203="1",BI203,0)</f>
        <v>0</v>
      </c>
      <c r="AD203" s="38">
        <f>IF(AQ203="7",BH203,0)</f>
        <v>0</v>
      </c>
      <c r="AE203" s="38">
        <f>IF(AQ203="7",BI203,0)</f>
        <v>0</v>
      </c>
      <c r="AF203" s="38">
        <f>IF(AQ203="2",BH203,0)</f>
        <v>0</v>
      </c>
      <c r="AG203" s="38">
        <f>IF(AQ203="2",BI203,0)</f>
        <v>0</v>
      </c>
      <c r="AH203" s="38">
        <f>IF(AQ203="0",BJ203,0)</f>
        <v>0</v>
      </c>
      <c r="AI203" s="30" t="s">
        <v>95</v>
      </c>
      <c r="AJ203" s="20">
        <f>IF(AN203=0,J203,0)</f>
        <v>0</v>
      </c>
      <c r="AK203" s="20">
        <f>IF(AN203=15,J203,0)</f>
        <v>0</v>
      </c>
      <c r="AL203" s="20">
        <f>IF(AN203=21,J203,0)</f>
        <v>0</v>
      </c>
      <c r="AN203" s="38">
        <v>21</v>
      </c>
      <c r="AO203" s="38">
        <f>G203*0</f>
        <v>0</v>
      </c>
      <c r="AP203" s="38">
        <f>G203*(1-0)</f>
        <v>0</v>
      </c>
      <c r="AQ203" s="34" t="s">
        <v>11</v>
      </c>
      <c r="AV203" s="38">
        <f>AW203+AX203</f>
        <v>0</v>
      </c>
      <c r="AW203" s="38">
        <f>F203*AO203</f>
        <v>0</v>
      </c>
      <c r="AX203" s="38">
        <f>F203*AP203</f>
        <v>0</v>
      </c>
      <c r="AY203" s="39" t="s">
        <v>374</v>
      </c>
      <c r="AZ203" s="39" t="s">
        <v>385</v>
      </c>
      <c r="BA203" s="30" t="s">
        <v>389</v>
      </c>
      <c r="BC203" s="38">
        <f>AW203+AX203</f>
        <v>0</v>
      </c>
      <c r="BD203" s="38">
        <f>G203/(100-BE203)*100</f>
        <v>0</v>
      </c>
      <c r="BE203" s="38">
        <v>0</v>
      </c>
      <c r="BF203" s="38">
        <f>L203</f>
        <v>0</v>
      </c>
      <c r="BH203" s="20">
        <f>F203*AO203</f>
        <v>0</v>
      </c>
      <c r="BI203" s="20">
        <f>F203*AP203</f>
        <v>0</v>
      </c>
      <c r="BJ203" s="20">
        <f>F203*G203</f>
        <v>0</v>
      </c>
    </row>
    <row r="204" spans="1:47" ht="12.75">
      <c r="A204" s="4"/>
      <c r="B204" s="14" t="s">
        <v>95</v>
      </c>
      <c r="C204" s="14" t="s">
        <v>168</v>
      </c>
      <c r="D204" s="14" t="s">
        <v>312</v>
      </c>
      <c r="E204" s="4" t="s">
        <v>6</v>
      </c>
      <c r="F204" s="4" t="s">
        <v>6</v>
      </c>
      <c r="G204" s="4" t="s">
        <v>6</v>
      </c>
      <c r="H204" s="41">
        <f>SUM(H205:H205)</f>
        <v>0</v>
      </c>
      <c r="I204" s="41">
        <f>SUM(I205:I205)</f>
        <v>0</v>
      </c>
      <c r="J204" s="41">
        <f>SUM(J205:J205)</f>
        <v>0</v>
      </c>
      <c r="K204" s="30"/>
      <c r="L204" s="41">
        <f>SUM(L205:L205)</f>
        <v>0</v>
      </c>
      <c r="M204" s="30"/>
      <c r="AI204" s="30" t="s">
        <v>95</v>
      </c>
      <c r="AS204" s="41">
        <f>SUM(AJ205:AJ205)</f>
        <v>0</v>
      </c>
      <c r="AT204" s="41">
        <f>SUM(AK205:AK205)</f>
        <v>0</v>
      </c>
      <c r="AU204" s="41">
        <f>SUM(AL205:AL205)</f>
        <v>0</v>
      </c>
    </row>
    <row r="205" spans="1:62" ht="12.75">
      <c r="A205" s="5" t="s">
        <v>73</v>
      </c>
      <c r="B205" s="5" t="s">
        <v>95</v>
      </c>
      <c r="C205" s="5" t="s">
        <v>169</v>
      </c>
      <c r="D205" s="5" t="s">
        <v>313</v>
      </c>
      <c r="E205" s="5" t="s">
        <v>336</v>
      </c>
      <c r="F205" s="20">
        <v>2</v>
      </c>
      <c r="G205" s="20">
        <v>0</v>
      </c>
      <c r="H205" s="20">
        <f>F205*AO205</f>
        <v>0</v>
      </c>
      <c r="I205" s="20">
        <f>F205*AP205</f>
        <v>0</v>
      </c>
      <c r="J205" s="20">
        <f>F205*G205</f>
        <v>0</v>
      </c>
      <c r="K205" s="20">
        <v>0</v>
      </c>
      <c r="L205" s="20">
        <f>F205*K205</f>
        <v>0</v>
      </c>
      <c r="M205" s="34" t="s">
        <v>355</v>
      </c>
      <c r="Z205" s="38">
        <f>IF(AQ205="5",BJ205,0)</f>
        <v>0</v>
      </c>
      <c r="AB205" s="38">
        <f>IF(AQ205="1",BH205,0)</f>
        <v>0</v>
      </c>
      <c r="AC205" s="38">
        <f>IF(AQ205="1",BI205,0)</f>
        <v>0</v>
      </c>
      <c r="AD205" s="38">
        <f>IF(AQ205="7",BH205,0)</f>
        <v>0</v>
      </c>
      <c r="AE205" s="38">
        <f>IF(AQ205="7",BI205,0)</f>
        <v>0</v>
      </c>
      <c r="AF205" s="38">
        <f>IF(AQ205="2",BH205,0)</f>
        <v>0</v>
      </c>
      <c r="AG205" s="38">
        <f>IF(AQ205="2",BI205,0)</f>
        <v>0</v>
      </c>
      <c r="AH205" s="38">
        <f>IF(AQ205="0",BJ205,0)</f>
        <v>0</v>
      </c>
      <c r="AI205" s="30" t="s">
        <v>95</v>
      </c>
      <c r="AJ205" s="20">
        <f>IF(AN205=0,J205,0)</f>
        <v>0</v>
      </c>
      <c r="AK205" s="20">
        <f>IF(AN205=15,J205,0)</f>
        <v>0</v>
      </c>
      <c r="AL205" s="20">
        <f>IF(AN205=21,J205,0)</f>
        <v>0</v>
      </c>
      <c r="AN205" s="38">
        <v>21</v>
      </c>
      <c r="AO205" s="38">
        <f>G205*0</f>
        <v>0</v>
      </c>
      <c r="AP205" s="38">
        <f>G205*(1-0)</f>
        <v>0</v>
      </c>
      <c r="AQ205" s="34" t="s">
        <v>8</v>
      </c>
      <c r="AV205" s="38">
        <f>AW205+AX205</f>
        <v>0</v>
      </c>
      <c r="AW205" s="38">
        <f>F205*AO205</f>
        <v>0</v>
      </c>
      <c r="AX205" s="38">
        <f>F205*AP205</f>
        <v>0</v>
      </c>
      <c r="AY205" s="39" t="s">
        <v>375</v>
      </c>
      <c r="AZ205" s="39" t="s">
        <v>385</v>
      </c>
      <c r="BA205" s="30" t="s">
        <v>389</v>
      </c>
      <c r="BC205" s="38">
        <f>AW205+AX205</f>
        <v>0</v>
      </c>
      <c r="BD205" s="38">
        <f>G205/(100-BE205)*100</f>
        <v>0</v>
      </c>
      <c r="BE205" s="38">
        <v>0</v>
      </c>
      <c r="BF205" s="38">
        <f>L205</f>
        <v>0</v>
      </c>
      <c r="BH205" s="20">
        <f>F205*AO205</f>
        <v>0</v>
      </c>
      <c r="BI205" s="20">
        <f>F205*AP205</f>
        <v>0</v>
      </c>
      <c r="BJ205" s="20">
        <f>F205*G205</f>
        <v>0</v>
      </c>
    </row>
    <row r="206" spans="1:47" ht="12.75">
      <c r="A206" s="4"/>
      <c r="B206" s="14" t="s">
        <v>95</v>
      </c>
      <c r="C206" s="14" t="s">
        <v>170</v>
      </c>
      <c r="D206" s="14" t="s">
        <v>314</v>
      </c>
      <c r="E206" s="4" t="s">
        <v>6</v>
      </c>
      <c r="F206" s="4" t="s">
        <v>6</v>
      </c>
      <c r="G206" s="4" t="s">
        <v>6</v>
      </c>
      <c r="H206" s="41">
        <f>SUM(H207:H208)</f>
        <v>0</v>
      </c>
      <c r="I206" s="41">
        <f>SUM(I207:I208)</f>
        <v>0</v>
      </c>
      <c r="J206" s="41">
        <f>SUM(J207:J208)</f>
        <v>0</v>
      </c>
      <c r="K206" s="30"/>
      <c r="L206" s="41">
        <f>SUM(L207:L208)</f>
        <v>0</v>
      </c>
      <c r="M206" s="30"/>
      <c r="AI206" s="30" t="s">
        <v>95</v>
      </c>
      <c r="AS206" s="41">
        <f>SUM(AJ207:AJ208)</f>
        <v>0</v>
      </c>
      <c r="AT206" s="41">
        <f>SUM(AK207:AK208)</f>
        <v>0</v>
      </c>
      <c r="AU206" s="41">
        <f>SUM(AL207:AL208)</f>
        <v>0</v>
      </c>
    </row>
    <row r="207" spans="1:62" ht="12.75">
      <c r="A207" s="5" t="s">
        <v>74</v>
      </c>
      <c r="B207" s="5" t="s">
        <v>95</v>
      </c>
      <c r="C207" s="5" t="s">
        <v>171</v>
      </c>
      <c r="D207" s="5" t="s">
        <v>315</v>
      </c>
      <c r="E207" s="5" t="s">
        <v>334</v>
      </c>
      <c r="F207" s="20">
        <v>100</v>
      </c>
      <c r="G207" s="20">
        <v>0</v>
      </c>
      <c r="H207" s="20">
        <f>F207*AO207</f>
        <v>0</v>
      </c>
      <c r="I207" s="20">
        <f>F207*AP207</f>
        <v>0</v>
      </c>
      <c r="J207" s="20">
        <f>F207*G207</f>
        <v>0</v>
      </c>
      <c r="K207" s="20">
        <v>0</v>
      </c>
      <c r="L207" s="20">
        <f>F207*K207</f>
        <v>0</v>
      </c>
      <c r="M207" s="68" t="s">
        <v>356</v>
      </c>
      <c r="Z207" s="38">
        <f>IF(AQ207="5",BJ207,0)</f>
        <v>0</v>
      </c>
      <c r="AB207" s="38">
        <f>IF(AQ207="1",BH207,0)</f>
        <v>0</v>
      </c>
      <c r="AC207" s="38">
        <f>IF(AQ207="1",BI207,0)</f>
        <v>0</v>
      </c>
      <c r="AD207" s="38">
        <f>IF(AQ207="7",BH207,0)</f>
        <v>0</v>
      </c>
      <c r="AE207" s="38">
        <f>IF(AQ207="7",BI207,0)</f>
        <v>0</v>
      </c>
      <c r="AF207" s="38">
        <f>IF(AQ207="2",BH207,0)</f>
        <v>0</v>
      </c>
      <c r="AG207" s="38">
        <f>IF(AQ207="2",BI207,0)</f>
        <v>0</v>
      </c>
      <c r="AH207" s="38">
        <f>IF(AQ207="0",BJ207,0)</f>
        <v>0</v>
      </c>
      <c r="AI207" s="30" t="s">
        <v>95</v>
      </c>
      <c r="AJ207" s="20">
        <f>IF(AN207=0,J207,0)</f>
        <v>0</v>
      </c>
      <c r="AK207" s="20">
        <f>IF(AN207=15,J207,0)</f>
        <v>0</v>
      </c>
      <c r="AL207" s="20">
        <f>IF(AN207=21,J207,0)</f>
        <v>0</v>
      </c>
      <c r="AN207" s="38">
        <v>21</v>
      </c>
      <c r="AO207" s="38">
        <f>G207*0</f>
        <v>0</v>
      </c>
      <c r="AP207" s="38">
        <f>G207*(1-0)</f>
        <v>0</v>
      </c>
      <c r="AQ207" s="34" t="s">
        <v>7</v>
      </c>
      <c r="AV207" s="38">
        <f>AW207+AX207</f>
        <v>0</v>
      </c>
      <c r="AW207" s="38">
        <f>F207*AO207</f>
        <v>0</v>
      </c>
      <c r="AX207" s="38">
        <f>F207*AP207</f>
        <v>0</v>
      </c>
      <c r="AY207" s="39" t="s">
        <v>376</v>
      </c>
      <c r="AZ207" s="39" t="s">
        <v>385</v>
      </c>
      <c r="BA207" s="30" t="s">
        <v>389</v>
      </c>
      <c r="BC207" s="38">
        <f>AW207+AX207</f>
        <v>0</v>
      </c>
      <c r="BD207" s="38">
        <f>G207/(100-BE207)*100</f>
        <v>0</v>
      </c>
      <c r="BE207" s="38">
        <v>0</v>
      </c>
      <c r="BF207" s="38">
        <f>L207</f>
        <v>0</v>
      </c>
      <c r="BH207" s="20">
        <f>F207*AO207</f>
        <v>0</v>
      </c>
      <c r="BI207" s="20">
        <f>F207*AP207</f>
        <v>0</v>
      </c>
      <c r="BJ207" s="20">
        <f>F207*G207</f>
        <v>0</v>
      </c>
    </row>
    <row r="208" spans="1:62" ht="12.75">
      <c r="A208" s="5" t="s">
        <v>75</v>
      </c>
      <c r="B208" s="5" t="s">
        <v>95</v>
      </c>
      <c r="C208" s="5" t="s">
        <v>172</v>
      </c>
      <c r="D208" s="5" t="s">
        <v>316</v>
      </c>
      <c r="E208" s="5" t="s">
        <v>338</v>
      </c>
      <c r="F208" s="20">
        <v>1</v>
      </c>
      <c r="G208" s="20">
        <v>0</v>
      </c>
      <c r="H208" s="20">
        <f>F208*AO208</f>
        <v>0</v>
      </c>
      <c r="I208" s="20">
        <f>F208*AP208</f>
        <v>0</v>
      </c>
      <c r="J208" s="20">
        <f>F208*G208</f>
        <v>0</v>
      </c>
      <c r="K208" s="20">
        <v>0</v>
      </c>
      <c r="L208" s="20">
        <f>F208*K208</f>
        <v>0</v>
      </c>
      <c r="M208" s="68" t="s">
        <v>356</v>
      </c>
      <c r="Z208" s="38">
        <f>IF(AQ208="5",BJ208,0)</f>
        <v>0</v>
      </c>
      <c r="AB208" s="38">
        <f>IF(AQ208="1",BH208,0)</f>
        <v>0</v>
      </c>
      <c r="AC208" s="38">
        <f>IF(AQ208="1",BI208,0)</f>
        <v>0</v>
      </c>
      <c r="AD208" s="38">
        <f>IF(AQ208="7",BH208,0)</f>
        <v>0</v>
      </c>
      <c r="AE208" s="38">
        <f>IF(AQ208="7",BI208,0)</f>
        <v>0</v>
      </c>
      <c r="AF208" s="38">
        <f>IF(AQ208="2",BH208,0)</f>
        <v>0</v>
      </c>
      <c r="AG208" s="38">
        <f>IF(AQ208="2",BI208,0)</f>
        <v>0</v>
      </c>
      <c r="AH208" s="38">
        <f>IF(AQ208="0",BJ208,0)</f>
        <v>0</v>
      </c>
      <c r="AI208" s="30" t="s">
        <v>95</v>
      </c>
      <c r="AJ208" s="20">
        <f>IF(AN208=0,J208,0)</f>
        <v>0</v>
      </c>
      <c r="AK208" s="20">
        <f>IF(AN208=15,J208,0)</f>
        <v>0</v>
      </c>
      <c r="AL208" s="20">
        <f>IF(AN208=21,J208,0)</f>
        <v>0</v>
      </c>
      <c r="AN208" s="38">
        <v>21</v>
      </c>
      <c r="AO208" s="38">
        <f>G208*0</f>
        <v>0</v>
      </c>
      <c r="AP208" s="38">
        <f>G208*(1-0)</f>
        <v>0</v>
      </c>
      <c r="AQ208" s="34" t="s">
        <v>7</v>
      </c>
      <c r="AV208" s="38">
        <f>AW208+AX208</f>
        <v>0</v>
      </c>
      <c r="AW208" s="38">
        <f>F208*AO208</f>
        <v>0</v>
      </c>
      <c r="AX208" s="38">
        <f>F208*AP208</f>
        <v>0</v>
      </c>
      <c r="AY208" s="39" t="s">
        <v>376</v>
      </c>
      <c r="AZ208" s="39" t="s">
        <v>385</v>
      </c>
      <c r="BA208" s="30" t="s">
        <v>389</v>
      </c>
      <c r="BC208" s="38">
        <f>AW208+AX208</f>
        <v>0</v>
      </c>
      <c r="BD208" s="38">
        <f>G208/(100-BE208)*100</f>
        <v>0</v>
      </c>
      <c r="BE208" s="38">
        <v>0</v>
      </c>
      <c r="BF208" s="38">
        <f>L208</f>
        <v>0</v>
      </c>
      <c r="BH208" s="20">
        <f>F208*AO208</f>
        <v>0</v>
      </c>
      <c r="BI208" s="20">
        <f>F208*AP208</f>
        <v>0</v>
      </c>
      <c r="BJ208" s="20">
        <f>F208*G208</f>
        <v>0</v>
      </c>
    </row>
    <row r="209" spans="1:13" ht="12.75">
      <c r="A209" s="7"/>
      <c r="B209" s="15" t="s">
        <v>96</v>
      </c>
      <c r="C209" s="15"/>
      <c r="D209" s="15" t="s">
        <v>317</v>
      </c>
      <c r="E209" s="7" t="s">
        <v>6</v>
      </c>
      <c r="F209" s="7" t="s">
        <v>6</v>
      </c>
      <c r="G209" s="7" t="s">
        <v>6</v>
      </c>
      <c r="H209" s="42">
        <f>H210+H232+H237+H247</f>
        <v>0</v>
      </c>
      <c r="I209" s="42">
        <f>I210+I232+I237+I247</f>
        <v>0</v>
      </c>
      <c r="J209" s="42">
        <f>J210+J232+J237+J247</f>
        <v>0</v>
      </c>
      <c r="K209" s="31"/>
      <c r="L209" s="42">
        <f>L210+L232+L237+L247</f>
        <v>5.962431199999999</v>
      </c>
      <c r="M209" s="31"/>
    </row>
    <row r="210" spans="1:47" ht="12.75">
      <c r="A210" s="4"/>
      <c r="B210" s="14" t="s">
        <v>96</v>
      </c>
      <c r="C210" s="14" t="s">
        <v>68</v>
      </c>
      <c r="D210" s="14" t="s">
        <v>212</v>
      </c>
      <c r="E210" s="4" t="s">
        <v>6</v>
      </c>
      <c r="F210" s="4" t="s">
        <v>6</v>
      </c>
      <c r="G210" s="4" t="s">
        <v>6</v>
      </c>
      <c r="H210" s="41">
        <f>SUM(H211:H231)</f>
        <v>0</v>
      </c>
      <c r="I210" s="41">
        <f>SUM(I211:I231)</f>
        <v>0</v>
      </c>
      <c r="J210" s="41">
        <f>SUM(J211:J231)</f>
        <v>0</v>
      </c>
      <c r="K210" s="30"/>
      <c r="L210" s="41">
        <f>SUM(L211:L231)</f>
        <v>1.4971112000000002</v>
      </c>
      <c r="M210" s="30"/>
      <c r="AI210" s="30" t="s">
        <v>96</v>
      </c>
      <c r="AS210" s="41">
        <f>SUM(AJ211:AJ231)</f>
        <v>0</v>
      </c>
      <c r="AT210" s="41">
        <f>SUM(AK211:AK231)</f>
        <v>0</v>
      </c>
      <c r="AU210" s="41">
        <f>SUM(AL211:AL231)</f>
        <v>0</v>
      </c>
    </row>
    <row r="211" spans="1:62" ht="12.75">
      <c r="A211" s="5" t="s">
        <v>76</v>
      </c>
      <c r="B211" s="5" t="s">
        <v>96</v>
      </c>
      <c r="C211" s="5" t="s">
        <v>173</v>
      </c>
      <c r="D211" s="5" t="s">
        <v>318</v>
      </c>
      <c r="E211" s="5" t="s">
        <v>334</v>
      </c>
      <c r="F211" s="20">
        <v>26.83</v>
      </c>
      <c r="G211" s="20">
        <v>0</v>
      </c>
      <c r="H211" s="20">
        <f>F211*AO211</f>
        <v>0</v>
      </c>
      <c r="I211" s="20">
        <f>F211*AP211</f>
        <v>0</v>
      </c>
      <c r="J211" s="20">
        <f>F211*G211</f>
        <v>0</v>
      </c>
      <c r="K211" s="20">
        <v>2E-05</v>
      </c>
      <c r="L211" s="20">
        <f>F211*K211</f>
        <v>0.0005366</v>
      </c>
      <c r="M211" s="34" t="s">
        <v>355</v>
      </c>
      <c r="Z211" s="38">
        <f>IF(AQ211="5",BJ211,0)</f>
        <v>0</v>
      </c>
      <c r="AB211" s="38">
        <f>IF(AQ211="1",BH211,0)</f>
        <v>0</v>
      </c>
      <c r="AC211" s="38">
        <f>IF(AQ211="1",BI211,0)</f>
        <v>0</v>
      </c>
      <c r="AD211" s="38">
        <f>IF(AQ211="7",BH211,0)</f>
        <v>0</v>
      </c>
      <c r="AE211" s="38">
        <f>IF(AQ211="7",BI211,0)</f>
        <v>0</v>
      </c>
      <c r="AF211" s="38">
        <f>IF(AQ211="2",BH211,0)</f>
        <v>0</v>
      </c>
      <c r="AG211" s="38">
        <f>IF(AQ211="2",BI211,0)</f>
        <v>0</v>
      </c>
      <c r="AH211" s="38">
        <f>IF(AQ211="0",BJ211,0)</f>
        <v>0</v>
      </c>
      <c r="AI211" s="30" t="s">
        <v>96</v>
      </c>
      <c r="AJ211" s="20">
        <f>IF(AN211=0,J211,0)</f>
        <v>0</v>
      </c>
      <c r="AK211" s="20">
        <f>IF(AN211=15,J211,0)</f>
        <v>0</v>
      </c>
      <c r="AL211" s="20">
        <f>IF(AN211=21,J211,0)</f>
        <v>0</v>
      </c>
      <c r="AN211" s="38">
        <v>21</v>
      </c>
      <c r="AO211" s="38">
        <f>G211*0.0683044806517312</f>
        <v>0</v>
      </c>
      <c r="AP211" s="38">
        <f>G211*(1-0.0683044806517312)</f>
        <v>0</v>
      </c>
      <c r="AQ211" s="34" t="s">
        <v>7</v>
      </c>
      <c r="AV211" s="38">
        <f>AW211+AX211</f>
        <v>0</v>
      </c>
      <c r="AW211" s="38">
        <f>F211*AO211</f>
        <v>0</v>
      </c>
      <c r="AX211" s="38">
        <f>F211*AP211</f>
        <v>0</v>
      </c>
      <c r="AY211" s="39" t="s">
        <v>370</v>
      </c>
      <c r="AZ211" s="39" t="s">
        <v>386</v>
      </c>
      <c r="BA211" s="30" t="s">
        <v>390</v>
      </c>
      <c r="BC211" s="38">
        <f>AW211+AX211</f>
        <v>0</v>
      </c>
      <c r="BD211" s="38">
        <f>G211/(100-BE211)*100</f>
        <v>0</v>
      </c>
      <c r="BE211" s="38">
        <v>0</v>
      </c>
      <c r="BF211" s="38">
        <f>L211</f>
        <v>0.0005366</v>
      </c>
      <c r="BH211" s="20">
        <f>F211*AO211</f>
        <v>0</v>
      </c>
      <c r="BI211" s="20">
        <f>F211*AP211</f>
        <v>0</v>
      </c>
      <c r="BJ211" s="20">
        <f>F211*G211</f>
        <v>0</v>
      </c>
    </row>
    <row r="212" spans="4:6" ht="12.75">
      <c r="D212" s="17" t="s">
        <v>319</v>
      </c>
      <c r="F212" s="21">
        <v>26.83</v>
      </c>
    </row>
    <row r="213" spans="1:62" ht="12.75">
      <c r="A213" s="5" t="s">
        <v>77</v>
      </c>
      <c r="B213" s="5" t="s">
        <v>96</v>
      </c>
      <c r="C213" s="5" t="s">
        <v>108</v>
      </c>
      <c r="D213" s="5" t="s">
        <v>199</v>
      </c>
      <c r="E213" s="5" t="s">
        <v>334</v>
      </c>
      <c r="F213" s="20">
        <v>8.07</v>
      </c>
      <c r="G213" s="20">
        <v>0</v>
      </c>
      <c r="H213" s="20">
        <f>F213*AO213</f>
        <v>0</v>
      </c>
      <c r="I213" s="20">
        <f>F213*AP213</f>
        <v>0</v>
      </c>
      <c r="J213" s="20">
        <f>F213*G213</f>
        <v>0</v>
      </c>
      <c r="K213" s="20">
        <v>0.02375</v>
      </c>
      <c r="L213" s="20">
        <f>F213*K213</f>
        <v>0.1916625</v>
      </c>
      <c r="M213" s="34" t="s">
        <v>355</v>
      </c>
      <c r="Z213" s="38">
        <f>IF(AQ213="5",BJ213,0)</f>
        <v>0</v>
      </c>
      <c r="AB213" s="38">
        <f>IF(AQ213="1",BH213,0)</f>
        <v>0</v>
      </c>
      <c r="AC213" s="38">
        <f>IF(AQ213="1",BI213,0)</f>
        <v>0</v>
      </c>
      <c r="AD213" s="38">
        <f>IF(AQ213="7",BH213,0)</f>
        <v>0</v>
      </c>
      <c r="AE213" s="38">
        <f>IF(AQ213="7",BI213,0)</f>
        <v>0</v>
      </c>
      <c r="AF213" s="38">
        <f>IF(AQ213="2",BH213,0)</f>
        <v>0</v>
      </c>
      <c r="AG213" s="38">
        <f>IF(AQ213="2",BI213,0)</f>
        <v>0</v>
      </c>
      <c r="AH213" s="38">
        <f>IF(AQ213="0",BJ213,0)</f>
        <v>0</v>
      </c>
      <c r="AI213" s="30" t="s">
        <v>96</v>
      </c>
      <c r="AJ213" s="20">
        <f>IF(AN213=0,J213,0)</f>
        <v>0</v>
      </c>
      <c r="AK213" s="20">
        <f>IF(AN213=15,J213,0)</f>
        <v>0</v>
      </c>
      <c r="AL213" s="20">
        <f>IF(AN213=21,J213,0)</f>
        <v>0</v>
      </c>
      <c r="AN213" s="38">
        <v>21</v>
      </c>
      <c r="AO213" s="38">
        <f>G213*0.284337539911814</f>
        <v>0</v>
      </c>
      <c r="AP213" s="38">
        <f>G213*(1-0.284337539911814)</f>
        <v>0</v>
      </c>
      <c r="AQ213" s="34" t="s">
        <v>7</v>
      </c>
      <c r="AV213" s="38">
        <f>AW213+AX213</f>
        <v>0</v>
      </c>
      <c r="AW213" s="38">
        <f>F213*AO213</f>
        <v>0</v>
      </c>
      <c r="AX213" s="38">
        <f>F213*AP213</f>
        <v>0</v>
      </c>
      <c r="AY213" s="39" t="s">
        <v>370</v>
      </c>
      <c r="AZ213" s="39" t="s">
        <v>386</v>
      </c>
      <c r="BA213" s="30" t="s">
        <v>390</v>
      </c>
      <c r="BC213" s="38">
        <f>AW213+AX213</f>
        <v>0</v>
      </c>
      <c r="BD213" s="38">
        <f>G213/(100-BE213)*100</f>
        <v>0</v>
      </c>
      <c r="BE213" s="38">
        <v>0</v>
      </c>
      <c r="BF213" s="38">
        <f>L213</f>
        <v>0.1916625</v>
      </c>
      <c r="BH213" s="20">
        <f>F213*AO213</f>
        <v>0</v>
      </c>
      <c r="BI213" s="20">
        <f>F213*AP213</f>
        <v>0</v>
      </c>
      <c r="BJ213" s="20">
        <f>F213*G213</f>
        <v>0</v>
      </c>
    </row>
    <row r="214" spans="4:6" ht="12.75">
      <c r="D214" s="17" t="s">
        <v>320</v>
      </c>
      <c r="F214" s="21">
        <v>8.07</v>
      </c>
    </row>
    <row r="215" spans="1:62" ht="12.75">
      <c r="A215" s="5" t="s">
        <v>78</v>
      </c>
      <c r="B215" s="5" t="s">
        <v>96</v>
      </c>
      <c r="C215" s="5" t="s">
        <v>119</v>
      </c>
      <c r="D215" s="5" t="s">
        <v>218</v>
      </c>
      <c r="E215" s="5" t="s">
        <v>334</v>
      </c>
      <c r="F215" s="20">
        <v>40.34</v>
      </c>
      <c r="G215" s="20">
        <v>0</v>
      </c>
      <c r="H215" s="20">
        <f>F215*AO215</f>
        <v>0</v>
      </c>
      <c r="I215" s="20">
        <f>F215*AP215</f>
        <v>0</v>
      </c>
      <c r="J215" s="20">
        <f>F215*G215</f>
        <v>0</v>
      </c>
      <c r="K215" s="20">
        <v>0.02205</v>
      </c>
      <c r="L215" s="20">
        <f>F215*K215</f>
        <v>0.8894970000000001</v>
      </c>
      <c r="M215" s="68" t="s">
        <v>356</v>
      </c>
      <c r="Z215" s="38">
        <f>IF(AQ215="5",BJ215,0)</f>
        <v>0</v>
      </c>
      <c r="AB215" s="38">
        <f>IF(AQ215="1",BH215,0)</f>
        <v>0</v>
      </c>
      <c r="AC215" s="38">
        <f>IF(AQ215="1",BI215,0)</f>
        <v>0</v>
      </c>
      <c r="AD215" s="38">
        <f>IF(AQ215="7",BH215,0)</f>
        <v>0</v>
      </c>
      <c r="AE215" s="38">
        <f>IF(AQ215="7",BI215,0)</f>
        <v>0</v>
      </c>
      <c r="AF215" s="38">
        <f>IF(AQ215="2",BH215,0)</f>
        <v>0</v>
      </c>
      <c r="AG215" s="38">
        <f>IF(AQ215="2",BI215,0)</f>
        <v>0</v>
      </c>
      <c r="AH215" s="38">
        <f>IF(AQ215="0",BJ215,0)</f>
        <v>0</v>
      </c>
      <c r="AI215" s="30" t="s">
        <v>96</v>
      </c>
      <c r="AJ215" s="20">
        <f>IF(AN215=0,J215,0)</f>
        <v>0</v>
      </c>
      <c r="AK215" s="20">
        <f>IF(AN215=15,J215,0)</f>
        <v>0</v>
      </c>
      <c r="AL215" s="20">
        <f>IF(AN215=21,J215,0)</f>
        <v>0</v>
      </c>
      <c r="AN215" s="38">
        <v>21</v>
      </c>
      <c r="AO215" s="38">
        <f>G215*0.495915668127353</f>
        <v>0</v>
      </c>
      <c r="AP215" s="38">
        <f>G215*(1-0.495915668127353)</f>
        <v>0</v>
      </c>
      <c r="AQ215" s="34" t="s">
        <v>7</v>
      </c>
      <c r="AV215" s="38">
        <f>AW215+AX215</f>
        <v>0</v>
      </c>
      <c r="AW215" s="38">
        <f>F215*AO215</f>
        <v>0</v>
      </c>
      <c r="AX215" s="38">
        <f>F215*AP215</f>
        <v>0</v>
      </c>
      <c r="AY215" s="39" t="s">
        <v>370</v>
      </c>
      <c r="AZ215" s="39" t="s">
        <v>386</v>
      </c>
      <c r="BA215" s="30" t="s">
        <v>390</v>
      </c>
      <c r="BC215" s="38">
        <f>AW215+AX215</f>
        <v>0</v>
      </c>
      <c r="BD215" s="38">
        <f>G215/(100-BE215)*100</f>
        <v>0</v>
      </c>
      <c r="BE215" s="38">
        <v>0</v>
      </c>
      <c r="BF215" s="38">
        <f>L215</f>
        <v>0.8894970000000001</v>
      </c>
      <c r="BH215" s="20">
        <f>F215*AO215</f>
        <v>0</v>
      </c>
      <c r="BI215" s="20">
        <f>F215*AP215</f>
        <v>0</v>
      </c>
      <c r="BJ215" s="20">
        <f>F215*G215</f>
        <v>0</v>
      </c>
    </row>
    <row r="216" spans="4:6" ht="12.75">
      <c r="D216" s="17" t="s">
        <v>321</v>
      </c>
      <c r="F216" s="21">
        <v>40.34</v>
      </c>
    </row>
    <row r="217" spans="1:62" ht="12.75">
      <c r="A217" s="5" t="s">
        <v>79</v>
      </c>
      <c r="B217" s="5" t="s">
        <v>96</v>
      </c>
      <c r="C217" s="5" t="s">
        <v>120</v>
      </c>
      <c r="D217" s="5" t="s">
        <v>221</v>
      </c>
      <c r="E217" s="5" t="s">
        <v>334</v>
      </c>
      <c r="F217" s="20">
        <v>51.48</v>
      </c>
      <c r="G217" s="20">
        <v>0</v>
      </c>
      <c r="H217" s="20">
        <f>F217*AO217</f>
        <v>0</v>
      </c>
      <c r="I217" s="20">
        <f>F217*AP217</f>
        <v>0</v>
      </c>
      <c r="J217" s="20">
        <f>F217*G217</f>
        <v>0</v>
      </c>
      <c r="K217" s="20">
        <v>0.00651</v>
      </c>
      <c r="L217" s="20">
        <f>F217*K217</f>
        <v>0.3351348</v>
      </c>
      <c r="M217" s="68" t="s">
        <v>356</v>
      </c>
      <c r="Z217" s="38">
        <f>IF(AQ217="5",BJ217,0)</f>
        <v>0</v>
      </c>
      <c r="AB217" s="38">
        <f>IF(AQ217="1",BH217,0)</f>
        <v>0</v>
      </c>
      <c r="AC217" s="38">
        <f>IF(AQ217="1",BI217,0)</f>
        <v>0</v>
      </c>
      <c r="AD217" s="38">
        <f>IF(AQ217="7",BH217,0)</f>
        <v>0</v>
      </c>
      <c r="AE217" s="38">
        <f>IF(AQ217="7",BI217,0)</f>
        <v>0</v>
      </c>
      <c r="AF217" s="38">
        <f>IF(AQ217="2",BH217,0)</f>
        <v>0</v>
      </c>
      <c r="AG217" s="38">
        <f>IF(AQ217="2",BI217,0)</f>
        <v>0</v>
      </c>
      <c r="AH217" s="38">
        <f>IF(AQ217="0",BJ217,0)</f>
        <v>0</v>
      </c>
      <c r="AI217" s="30" t="s">
        <v>96</v>
      </c>
      <c r="AJ217" s="20">
        <f>IF(AN217=0,J217,0)</f>
        <v>0</v>
      </c>
      <c r="AK217" s="20">
        <f>IF(AN217=15,J217,0)</f>
        <v>0</v>
      </c>
      <c r="AL217" s="20">
        <f>IF(AN217=21,J217,0)</f>
        <v>0</v>
      </c>
      <c r="AN217" s="38">
        <v>21</v>
      </c>
      <c r="AO217" s="38">
        <f>G217*0.363560954797566</f>
        <v>0</v>
      </c>
      <c r="AP217" s="38">
        <f>G217*(1-0.363560954797566)</f>
        <v>0</v>
      </c>
      <c r="AQ217" s="34" t="s">
        <v>7</v>
      </c>
      <c r="AV217" s="38">
        <f>AW217+AX217</f>
        <v>0</v>
      </c>
      <c r="AW217" s="38">
        <f>F217*AO217</f>
        <v>0</v>
      </c>
      <c r="AX217" s="38">
        <f>F217*AP217</f>
        <v>0</v>
      </c>
      <c r="AY217" s="39" t="s">
        <v>370</v>
      </c>
      <c r="AZ217" s="39" t="s">
        <v>386</v>
      </c>
      <c r="BA217" s="30" t="s">
        <v>390</v>
      </c>
      <c r="BC217" s="38">
        <f>AW217+AX217</f>
        <v>0</v>
      </c>
      <c r="BD217" s="38">
        <f>G217/(100-BE217)*100</f>
        <v>0</v>
      </c>
      <c r="BE217" s="38">
        <v>0</v>
      </c>
      <c r="BF217" s="38">
        <f>L217</f>
        <v>0.3351348</v>
      </c>
      <c r="BH217" s="20">
        <f>F217*AO217</f>
        <v>0</v>
      </c>
      <c r="BI217" s="20">
        <f>F217*AP217</f>
        <v>0</v>
      </c>
      <c r="BJ217" s="20">
        <f>F217*G217</f>
        <v>0</v>
      </c>
    </row>
    <row r="218" spans="4:6" ht="12.75">
      <c r="D218" s="17" t="s">
        <v>321</v>
      </c>
      <c r="F218" s="21">
        <v>40.34</v>
      </c>
    </row>
    <row r="219" spans="4:6" ht="12.75">
      <c r="D219" s="17" t="s">
        <v>322</v>
      </c>
      <c r="F219" s="21">
        <v>5.22</v>
      </c>
    </row>
    <row r="220" spans="4:6" ht="12.75">
      <c r="D220" s="17" t="s">
        <v>323</v>
      </c>
      <c r="F220" s="21">
        <v>5.92</v>
      </c>
    </row>
    <row r="221" spans="1:62" ht="12.75">
      <c r="A221" s="5" t="s">
        <v>80</v>
      </c>
      <c r="B221" s="5" t="s">
        <v>96</v>
      </c>
      <c r="C221" s="5" t="s">
        <v>174</v>
      </c>
      <c r="D221" s="5" t="s">
        <v>324</v>
      </c>
      <c r="E221" s="5" t="s">
        <v>334</v>
      </c>
      <c r="F221" s="20">
        <v>51.48</v>
      </c>
      <c r="G221" s="20">
        <v>0</v>
      </c>
      <c r="H221" s="20">
        <f>F221*AO221</f>
        <v>0</v>
      </c>
      <c r="I221" s="20">
        <f>F221*AP221</f>
        <v>0</v>
      </c>
      <c r="J221" s="20">
        <f>F221*G221</f>
        <v>0</v>
      </c>
      <c r="K221" s="20">
        <v>0.00035</v>
      </c>
      <c r="L221" s="20">
        <f>F221*K221</f>
        <v>0.018018</v>
      </c>
      <c r="M221" s="34" t="s">
        <v>355</v>
      </c>
      <c r="Z221" s="38">
        <f>IF(AQ221="5",BJ221,0)</f>
        <v>0</v>
      </c>
      <c r="AB221" s="38">
        <f>IF(AQ221="1",BH221,0)</f>
        <v>0</v>
      </c>
      <c r="AC221" s="38">
        <f>IF(AQ221="1",BI221,0)</f>
        <v>0</v>
      </c>
      <c r="AD221" s="38">
        <f>IF(AQ221="7",BH221,0)</f>
        <v>0</v>
      </c>
      <c r="AE221" s="38">
        <f>IF(AQ221="7",BI221,0)</f>
        <v>0</v>
      </c>
      <c r="AF221" s="38">
        <f>IF(AQ221="2",BH221,0)</f>
        <v>0</v>
      </c>
      <c r="AG221" s="38">
        <f>IF(AQ221="2",BI221,0)</f>
        <v>0</v>
      </c>
      <c r="AH221" s="38">
        <f>IF(AQ221="0",BJ221,0)</f>
        <v>0</v>
      </c>
      <c r="AI221" s="30" t="s">
        <v>96</v>
      </c>
      <c r="AJ221" s="20">
        <f>IF(AN221=0,J221,0)</f>
        <v>0</v>
      </c>
      <c r="AK221" s="20">
        <f>IF(AN221=15,J221,0)</f>
        <v>0</v>
      </c>
      <c r="AL221" s="20">
        <f>IF(AN221=21,J221,0)</f>
        <v>0</v>
      </c>
      <c r="AN221" s="38">
        <v>21</v>
      </c>
      <c r="AO221" s="38">
        <f>G221*0.431889423432759</f>
        <v>0</v>
      </c>
      <c r="AP221" s="38">
        <f>G221*(1-0.431889423432759)</f>
        <v>0</v>
      </c>
      <c r="AQ221" s="34" t="s">
        <v>7</v>
      </c>
      <c r="AV221" s="38">
        <f>AW221+AX221</f>
        <v>0</v>
      </c>
      <c r="AW221" s="38">
        <f>F221*AO221</f>
        <v>0</v>
      </c>
      <c r="AX221" s="38">
        <f>F221*AP221</f>
        <v>0</v>
      </c>
      <c r="AY221" s="39" t="s">
        <v>370</v>
      </c>
      <c r="AZ221" s="39" t="s">
        <v>386</v>
      </c>
      <c r="BA221" s="30" t="s">
        <v>390</v>
      </c>
      <c r="BC221" s="38">
        <f>AW221+AX221</f>
        <v>0</v>
      </c>
      <c r="BD221" s="38">
        <f>G221/(100-BE221)*100</f>
        <v>0</v>
      </c>
      <c r="BE221" s="38">
        <v>0</v>
      </c>
      <c r="BF221" s="38">
        <f>L221</f>
        <v>0.018018</v>
      </c>
      <c r="BH221" s="20">
        <f>F221*AO221</f>
        <v>0</v>
      </c>
      <c r="BI221" s="20">
        <f>F221*AP221</f>
        <v>0</v>
      </c>
      <c r="BJ221" s="20">
        <f>F221*G221</f>
        <v>0</v>
      </c>
    </row>
    <row r="222" spans="4:6" ht="12.75">
      <c r="D222" s="17" t="s">
        <v>321</v>
      </c>
      <c r="F222" s="21">
        <v>40.34</v>
      </c>
    </row>
    <row r="223" spans="4:6" ht="12.75">
      <c r="D223" s="17" t="s">
        <v>322</v>
      </c>
      <c r="F223" s="21">
        <v>5.22</v>
      </c>
    </row>
    <row r="224" spans="4:6" ht="12.75">
      <c r="D224" s="17" t="s">
        <v>323</v>
      </c>
      <c r="F224" s="21">
        <v>5.92</v>
      </c>
    </row>
    <row r="225" spans="1:62" ht="12.75">
      <c r="A225" s="5" t="s">
        <v>81</v>
      </c>
      <c r="B225" s="5" t="s">
        <v>96</v>
      </c>
      <c r="C225" s="5" t="s">
        <v>122</v>
      </c>
      <c r="D225" s="5" t="s">
        <v>223</v>
      </c>
      <c r="E225" s="5" t="s">
        <v>334</v>
      </c>
      <c r="F225" s="20">
        <v>51.48</v>
      </c>
      <c r="G225" s="20">
        <v>0</v>
      </c>
      <c r="H225" s="20">
        <f>F225*AO225</f>
        <v>0</v>
      </c>
      <c r="I225" s="20">
        <f>F225*AP225</f>
        <v>0</v>
      </c>
      <c r="J225" s="20">
        <f>F225*G225</f>
        <v>0</v>
      </c>
      <c r="K225" s="20">
        <v>0.0011</v>
      </c>
      <c r="L225" s="20">
        <f>F225*K225</f>
        <v>0.056628</v>
      </c>
      <c r="M225" s="34" t="s">
        <v>355</v>
      </c>
      <c r="Z225" s="38">
        <f>IF(AQ225="5",BJ225,0)</f>
        <v>0</v>
      </c>
      <c r="AB225" s="38">
        <f>IF(AQ225="1",BH225,0)</f>
        <v>0</v>
      </c>
      <c r="AC225" s="38">
        <f>IF(AQ225="1",BI225,0)</f>
        <v>0</v>
      </c>
      <c r="AD225" s="38">
        <f>IF(AQ225="7",BH225,0)</f>
        <v>0</v>
      </c>
      <c r="AE225" s="38">
        <f>IF(AQ225="7",BI225,0)</f>
        <v>0</v>
      </c>
      <c r="AF225" s="38">
        <f>IF(AQ225="2",BH225,0)</f>
        <v>0</v>
      </c>
      <c r="AG225" s="38">
        <f>IF(AQ225="2",BI225,0)</f>
        <v>0</v>
      </c>
      <c r="AH225" s="38">
        <f>IF(AQ225="0",BJ225,0)</f>
        <v>0</v>
      </c>
      <c r="AI225" s="30" t="s">
        <v>96</v>
      </c>
      <c r="AJ225" s="20">
        <f>IF(AN225=0,J225,0)</f>
        <v>0</v>
      </c>
      <c r="AK225" s="20">
        <f>IF(AN225=15,J225,0)</f>
        <v>0</v>
      </c>
      <c r="AL225" s="20">
        <f>IF(AN225=21,J225,0)</f>
        <v>0</v>
      </c>
      <c r="AN225" s="38">
        <v>21</v>
      </c>
      <c r="AO225" s="38">
        <f>G225*0.561515812069174</f>
        <v>0</v>
      </c>
      <c r="AP225" s="38">
        <f>G225*(1-0.561515812069174)</f>
        <v>0</v>
      </c>
      <c r="AQ225" s="34" t="s">
        <v>7</v>
      </c>
      <c r="AV225" s="38">
        <f>AW225+AX225</f>
        <v>0</v>
      </c>
      <c r="AW225" s="38">
        <f>F225*AO225</f>
        <v>0</v>
      </c>
      <c r="AX225" s="38">
        <f>F225*AP225</f>
        <v>0</v>
      </c>
      <c r="AY225" s="39" t="s">
        <v>370</v>
      </c>
      <c r="AZ225" s="39" t="s">
        <v>386</v>
      </c>
      <c r="BA225" s="30" t="s">
        <v>390</v>
      </c>
      <c r="BC225" s="38">
        <f>AW225+AX225</f>
        <v>0</v>
      </c>
      <c r="BD225" s="38">
        <f>G225/(100-BE225)*100</f>
        <v>0</v>
      </c>
      <c r="BE225" s="38">
        <v>0</v>
      </c>
      <c r="BF225" s="38">
        <f>L225</f>
        <v>0.056628</v>
      </c>
      <c r="BH225" s="20">
        <f>F225*AO225</f>
        <v>0</v>
      </c>
      <c r="BI225" s="20">
        <f>F225*AP225</f>
        <v>0</v>
      </c>
      <c r="BJ225" s="20">
        <f>F225*G225</f>
        <v>0</v>
      </c>
    </row>
    <row r="226" spans="4:6" ht="12.75">
      <c r="D226" s="17" t="s">
        <v>321</v>
      </c>
      <c r="F226" s="21">
        <v>40.34</v>
      </c>
    </row>
    <row r="227" spans="4:6" ht="12.75">
      <c r="D227" s="17" t="s">
        <v>322</v>
      </c>
      <c r="F227" s="21">
        <v>5.22</v>
      </c>
    </row>
    <row r="228" spans="4:6" ht="12.75">
      <c r="D228" s="17" t="s">
        <v>323</v>
      </c>
      <c r="F228" s="21">
        <v>5.92</v>
      </c>
    </row>
    <row r="229" spans="1:62" ht="12.75">
      <c r="A229" s="5" t="s">
        <v>82</v>
      </c>
      <c r="B229" s="5" t="s">
        <v>96</v>
      </c>
      <c r="C229" s="5" t="s">
        <v>175</v>
      </c>
      <c r="D229" s="5" t="s">
        <v>325</v>
      </c>
      <c r="E229" s="5" t="s">
        <v>334</v>
      </c>
      <c r="F229" s="20">
        <v>26.83</v>
      </c>
      <c r="G229" s="20">
        <v>0</v>
      </c>
      <c r="H229" s="20">
        <f>F229*AO229</f>
        <v>0</v>
      </c>
      <c r="I229" s="20">
        <f>F229*AP229</f>
        <v>0</v>
      </c>
      <c r="J229" s="20">
        <f>F229*G229</f>
        <v>0</v>
      </c>
      <c r="K229" s="20">
        <v>0.00021</v>
      </c>
      <c r="L229" s="20">
        <f>F229*K229</f>
        <v>0.0056343</v>
      </c>
      <c r="M229" s="34" t="s">
        <v>355</v>
      </c>
      <c r="Z229" s="38">
        <f>IF(AQ229="5",BJ229,0)</f>
        <v>0</v>
      </c>
      <c r="AB229" s="38">
        <f>IF(AQ229="1",BH229,0)</f>
        <v>0</v>
      </c>
      <c r="AC229" s="38">
        <f>IF(AQ229="1",BI229,0)</f>
        <v>0</v>
      </c>
      <c r="AD229" s="38">
        <f>IF(AQ229="7",BH229,0)</f>
        <v>0</v>
      </c>
      <c r="AE229" s="38">
        <f>IF(AQ229="7",BI229,0)</f>
        <v>0</v>
      </c>
      <c r="AF229" s="38">
        <f>IF(AQ229="2",BH229,0)</f>
        <v>0</v>
      </c>
      <c r="AG229" s="38">
        <f>IF(AQ229="2",BI229,0)</f>
        <v>0</v>
      </c>
      <c r="AH229" s="38">
        <f>IF(AQ229="0",BJ229,0)</f>
        <v>0</v>
      </c>
      <c r="AI229" s="30" t="s">
        <v>96</v>
      </c>
      <c r="AJ229" s="20">
        <f>IF(AN229=0,J229,0)</f>
        <v>0</v>
      </c>
      <c r="AK229" s="20">
        <f>IF(AN229=15,J229,0)</f>
        <v>0</v>
      </c>
      <c r="AL229" s="20">
        <f>IF(AN229=21,J229,0)</f>
        <v>0</v>
      </c>
      <c r="AN229" s="38">
        <v>21</v>
      </c>
      <c r="AO229" s="38">
        <f>G229*0.504568146634466</f>
        <v>0</v>
      </c>
      <c r="AP229" s="38">
        <f>G229*(1-0.504568146634466)</f>
        <v>0</v>
      </c>
      <c r="AQ229" s="34" t="s">
        <v>7</v>
      </c>
      <c r="AV229" s="38">
        <f>AW229+AX229</f>
        <v>0</v>
      </c>
      <c r="AW229" s="38">
        <f>F229*AO229</f>
        <v>0</v>
      </c>
      <c r="AX229" s="38">
        <f>F229*AP229</f>
        <v>0</v>
      </c>
      <c r="AY229" s="39" t="s">
        <v>370</v>
      </c>
      <c r="AZ229" s="39" t="s">
        <v>386</v>
      </c>
      <c r="BA229" s="30" t="s">
        <v>390</v>
      </c>
      <c r="BC229" s="38">
        <f>AW229+AX229</f>
        <v>0</v>
      </c>
      <c r="BD229" s="38">
        <f>G229/(100-BE229)*100</f>
        <v>0</v>
      </c>
      <c r="BE229" s="38">
        <v>0</v>
      </c>
      <c r="BF229" s="38">
        <f>L229</f>
        <v>0.0056343</v>
      </c>
      <c r="BH229" s="20">
        <f>F229*AO229</f>
        <v>0</v>
      </c>
      <c r="BI229" s="20">
        <f>F229*AP229</f>
        <v>0</v>
      </c>
      <c r="BJ229" s="20">
        <f>F229*G229</f>
        <v>0</v>
      </c>
    </row>
    <row r="230" spans="4:6" ht="12.75">
      <c r="D230" s="17" t="s">
        <v>319</v>
      </c>
      <c r="F230" s="21">
        <v>26.83</v>
      </c>
    </row>
    <row r="231" spans="1:62" ht="12.75">
      <c r="A231" s="5" t="s">
        <v>83</v>
      </c>
      <c r="B231" s="5" t="s">
        <v>96</v>
      </c>
      <c r="C231" s="5" t="s">
        <v>127</v>
      </c>
      <c r="D231" s="5" t="s">
        <v>232</v>
      </c>
      <c r="E231" s="5" t="s">
        <v>335</v>
      </c>
      <c r="F231" s="20">
        <v>1.67</v>
      </c>
      <c r="G231" s="20">
        <v>0</v>
      </c>
      <c r="H231" s="20">
        <f>F231*AO231</f>
        <v>0</v>
      </c>
      <c r="I231" s="20">
        <f>F231*AP231</f>
        <v>0</v>
      </c>
      <c r="J231" s="20">
        <f>F231*G231</f>
        <v>0</v>
      </c>
      <c r="K231" s="20">
        <v>0</v>
      </c>
      <c r="L231" s="20">
        <f>F231*K231</f>
        <v>0</v>
      </c>
      <c r="M231" s="34" t="s">
        <v>355</v>
      </c>
      <c r="Z231" s="38">
        <f>IF(AQ231="5",BJ231,0)</f>
        <v>0</v>
      </c>
      <c r="AB231" s="38">
        <f>IF(AQ231="1",BH231,0)</f>
        <v>0</v>
      </c>
      <c r="AC231" s="38">
        <f>IF(AQ231="1",BI231,0)</f>
        <v>0</v>
      </c>
      <c r="AD231" s="38">
        <f>IF(AQ231="7",BH231,0)</f>
        <v>0</v>
      </c>
      <c r="AE231" s="38">
        <f>IF(AQ231="7",BI231,0)</f>
        <v>0</v>
      </c>
      <c r="AF231" s="38">
        <f>IF(AQ231="2",BH231,0)</f>
        <v>0</v>
      </c>
      <c r="AG231" s="38">
        <f>IF(AQ231="2",BI231,0)</f>
        <v>0</v>
      </c>
      <c r="AH231" s="38">
        <f>IF(AQ231="0",BJ231,0)</f>
        <v>0</v>
      </c>
      <c r="AI231" s="30" t="s">
        <v>96</v>
      </c>
      <c r="AJ231" s="20">
        <f>IF(AN231=0,J231,0)</f>
        <v>0</v>
      </c>
      <c r="AK231" s="20">
        <f>IF(AN231=15,J231,0)</f>
        <v>0</v>
      </c>
      <c r="AL231" s="20">
        <f>IF(AN231=21,J231,0)</f>
        <v>0</v>
      </c>
      <c r="AN231" s="38">
        <v>21</v>
      </c>
      <c r="AO231" s="38">
        <f>G231*0</f>
        <v>0</v>
      </c>
      <c r="AP231" s="38">
        <f>G231*(1-0)</f>
        <v>0</v>
      </c>
      <c r="AQ231" s="34" t="s">
        <v>11</v>
      </c>
      <c r="AV231" s="38">
        <f>AW231+AX231</f>
        <v>0</v>
      </c>
      <c r="AW231" s="38">
        <f>F231*AO231</f>
        <v>0</v>
      </c>
      <c r="AX231" s="38">
        <f>F231*AP231</f>
        <v>0</v>
      </c>
      <c r="AY231" s="39" t="s">
        <v>370</v>
      </c>
      <c r="AZ231" s="39" t="s">
        <v>386</v>
      </c>
      <c r="BA231" s="30" t="s">
        <v>390</v>
      </c>
      <c r="BC231" s="38">
        <f>AW231+AX231</f>
        <v>0</v>
      </c>
      <c r="BD231" s="38">
        <f>G231/(100-BE231)*100</f>
        <v>0</v>
      </c>
      <c r="BE231" s="38">
        <v>0</v>
      </c>
      <c r="BF231" s="38">
        <f>L231</f>
        <v>0</v>
      </c>
      <c r="BH231" s="20">
        <f>F231*AO231</f>
        <v>0</v>
      </c>
      <c r="BI231" s="20">
        <f>F231*AP231</f>
        <v>0</v>
      </c>
      <c r="BJ231" s="20">
        <f>F231*G231</f>
        <v>0</v>
      </c>
    </row>
    <row r="232" spans="1:47" ht="12.75">
      <c r="A232" s="4"/>
      <c r="B232" s="14" t="s">
        <v>96</v>
      </c>
      <c r="C232" s="14" t="s">
        <v>145</v>
      </c>
      <c r="D232" s="14" t="s">
        <v>268</v>
      </c>
      <c r="E232" s="4" t="s">
        <v>6</v>
      </c>
      <c r="F232" s="4" t="s">
        <v>6</v>
      </c>
      <c r="G232" s="4" t="s">
        <v>6</v>
      </c>
      <c r="H232" s="41">
        <f>SUM(H233:H235)</f>
        <v>0</v>
      </c>
      <c r="I232" s="41">
        <f>SUM(I233:I235)</f>
        <v>0</v>
      </c>
      <c r="J232" s="41">
        <f>SUM(J233:J235)</f>
        <v>0</v>
      </c>
      <c r="K232" s="30"/>
      <c r="L232" s="41">
        <f>SUM(L233:L235)</f>
        <v>1.428</v>
      </c>
      <c r="M232" s="30"/>
      <c r="AI232" s="30" t="s">
        <v>96</v>
      </c>
      <c r="AS232" s="41">
        <f>SUM(AJ233:AJ235)</f>
        <v>0</v>
      </c>
      <c r="AT232" s="41">
        <f>SUM(AK233:AK235)</f>
        <v>0</v>
      </c>
      <c r="AU232" s="41">
        <f>SUM(AL233:AL235)</f>
        <v>0</v>
      </c>
    </row>
    <row r="233" spans="1:62" ht="12.75">
      <c r="A233" s="5" t="s">
        <v>84</v>
      </c>
      <c r="B233" s="5" t="s">
        <v>96</v>
      </c>
      <c r="C233" s="5" t="s">
        <v>146</v>
      </c>
      <c r="D233" s="5" t="s">
        <v>269</v>
      </c>
      <c r="E233" s="5" t="s">
        <v>333</v>
      </c>
      <c r="F233" s="20">
        <v>6</v>
      </c>
      <c r="G233" s="20">
        <v>0</v>
      </c>
      <c r="H233" s="20">
        <f>F233*AO233</f>
        <v>0</v>
      </c>
      <c r="I233" s="20">
        <f>F233*AP233</f>
        <v>0</v>
      </c>
      <c r="J233" s="20">
        <f>F233*G233</f>
        <v>0</v>
      </c>
      <c r="K233" s="20">
        <v>0.119</v>
      </c>
      <c r="L233" s="20">
        <f>F233*K233</f>
        <v>0.714</v>
      </c>
      <c r="M233" s="68" t="s">
        <v>356</v>
      </c>
      <c r="Z233" s="38">
        <f>IF(AQ233="5",BJ233,0)</f>
        <v>0</v>
      </c>
      <c r="AB233" s="38">
        <f>IF(AQ233="1",BH233,0)</f>
        <v>0</v>
      </c>
      <c r="AC233" s="38">
        <f>IF(AQ233="1",BI233,0)</f>
        <v>0</v>
      </c>
      <c r="AD233" s="38">
        <f>IF(AQ233="7",BH233,0)</f>
        <v>0</v>
      </c>
      <c r="AE233" s="38">
        <f>IF(AQ233="7",BI233,0)</f>
        <v>0</v>
      </c>
      <c r="AF233" s="38">
        <f>IF(AQ233="2",BH233,0)</f>
        <v>0</v>
      </c>
      <c r="AG233" s="38">
        <f>IF(AQ233="2",BI233,0)</f>
        <v>0</v>
      </c>
      <c r="AH233" s="38">
        <f>IF(AQ233="0",BJ233,0)</f>
        <v>0</v>
      </c>
      <c r="AI233" s="30" t="s">
        <v>96</v>
      </c>
      <c r="AJ233" s="20">
        <f>IF(AN233=0,J233,0)</f>
        <v>0</v>
      </c>
      <c r="AK233" s="20">
        <f>IF(AN233=15,J233,0)</f>
        <v>0</v>
      </c>
      <c r="AL233" s="20">
        <f>IF(AN233=21,J233,0)</f>
        <v>0</v>
      </c>
      <c r="AN233" s="38">
        <v>21</v>
      </c>
      <c r="AO233" s="38">
        <f>G233*0.163156626506024</f>
        <v>0</v>
      </c>
      <c r="AP233" s="38">
        <f>G233*(1-0.163156626506024)</f>
        <v>0</v>
      </c>
      <c r="AQ233" s="34" t="s">
        <v>13</v>
      </c>
      <c r="AV233" s="38">
        <f>AW233+AX233</f>
        <v>0</v>
      </c>
      <c r="AW233" s="38">
        <f>F233*AO233</f>
        <v>0</v>
      </c>
      <c r="AX233" s="38">
        <f>F233*AP233</f>
        <v>0</v>
      </c>
      <c r="AY233" s="39" t="s">
        <v>373</v>
      </c>
      <c r="AZ233" s="39" t="s">
        <v>387</v>
      </c>
      <c r="BA233" s="30" t="s">
        <v>390</v>
      </c>
      <c r="BC233" s="38">
        <f>AW233+AX233</f>
        <v>0</v>
      </c>
      <c r="BD233" s="38">
        <f>G233/(100-BE233)*100</f>
        <v>0</v>
      </c>
      <c r="BE233" s="38">
        <v>0</v>
      </c>
      <c r="BF233" s="38">
        <f>L233</f>
        <v>0.714</v>
      </c>
      <c r="BH233" s="20">
        <f>F233*AO233</f>
        <v>0</v>
      </c>
      <c r="BI233" s="20">
        <f>F233*AP233</f>
        <v>0</v>
      </c>
      <c r="BJ233" s="20">
        <f>F233*G233</f>
        <v>0</v>
      </c>
    </row>
    <row r="234" spans="4:6" ht="12.75">
      <c r="D234" s="17" t="s">
        <v>326</v>
      </c>
      <c r="F234" s="21">
        <v>6</v>
      </c>
    </row>
    <row r="235" spans="1:62" ht="12.75">
      <c r="A235" s="5" t="s">
        <v>85</v>
      </c>
      <c r="B235" s="5" t="s">
        <v>96</v>
      </c>
      <c r="C235" s="5" t="s">
        <v>147</v>
      </c>
      <c r="D235" s="5" t="s">
        <v>327</v>
      </c>
      <c r="E235" s="5" t="s">
        <v>333</v>
      </c>
      <c r="F235" s="20">
        <v>6</v>
      </c>
      <c r="G235" s="20">
        <v>0</v>
      </c>
      <c r="H235" s="20">
        <f>F235*AO235</f>
        <v>0</v>
      </c>
      <c r="I235" s="20">
        <f>F235*AP235</f>
        <v>0</v>
      </c>
      <c r="J235" s="20">
        <f>F235*G235</f>
        <v>0</v>
      </c>
      <c r="K235" s="20">
        <v>0.119</v>
      </c>
      <c r="L235" s="20">
        <f>F235*K235</f>
        <v>0.714</v>
      </c>
      <c r="M235" s="68" t="s">
        <v>356</v>
      </c>
      <c r="Z235" s="38">
        <f>IF(AQ235="5",BJ235,0)</f>
        <v>0</v>
      </c>
      <c r="AB235" s="38">
        <f>IF(AQ235="1",BH235,0)</f>
        <v>0</v>
      </c>
      <c r="AC235" s="38">
        <f>IF(AQ235="1",BI235,0)</f>
        <v>0</v>
      </c>
      <c r="AD235" s="38">
        <f>IF(AQ235="7",BH235,0)</f>
        <v>0</v>
      </c>
      <c r="AE235" s="38">
        <f>IF(AQ235="7",BI235,0)</f>
        <v>0</v>
      </c>
      <c r="AF235" s="38">
        <f>IF(AQ235="2",BH235,0)</f>
        <v>0</v>
      </c>
      <c r="AG235" s="38">
        <f>IF(AQ235="2",BI235,0)</f>
        <v>0</v>
      </c>
      <c r="AH235" s="38">
        <f>IF(AQ235="0",BJ235,0)</f>
        <v>0</v>
      </c>
      <c r="AI235" s="30" t="s">
        <v>96</v>
      </c>
      <c r="AJ235" s="20">
        <f>IF(AN235=0,J235,0)</f>
        <v>0</v>
      </c>
      <c r="AK235" s="20">
        <f>IF(AN235=15,J235,0)</f>
        <v>0</v>
      </c>
      <c r="AL235" s="20">
        <f>IF(AN235=21,J235,0)</f>
        <v>0</v>
      </c>
      <c r="AN235" s="38">
        <v>21</v>
      </c>
      <c r="AO235" s="38">
        <f>G235*0.163132075471698</f>
        <v>0</v>
      </c>
      <c r="AP235" s="38">
        <f>G235*(1-0.163132075471698)</f>
        <v>0</v>
      </c>
      <c r="AQ235" s="34" t="s">
        <v>13</v>
      </c>
      <c r="AV235" s="38">
        <f>AW235+AX235</f>
        <v>0</v>
      </c>
      <c r="AW235" s="38">
        <f>F235*AO235</f>
        <v>0</v>
      </c>
      <c r="AX235" s="38">
        <f>F235*AP235</f>
        <v>0</v>
      </c>
      <c r="AY235" s="39" t="s">
        <v>373</v>
      </c>
      <c r="AZ235" s="39" t="s">
        <v>387</v>
      </c>
      <c r="BA235" s="30" t="s">
        <v>390</v>
      </c>
      <c r="BC235" s="38">
        <f>AW235+AX235</f>
        <v>0</v>
      </c>
      <c r="BD235" s="38">
        <f>G235/(100-BE235)*100</f>
        <v>0</v>
      </c>
      <c r="BE235" s="38">
        <v>0</v>
      </c>
      <c r="BF235" s="38">
        <f>L235</f>
        <v>0.714</v>
      </c>
      <c r="BH235" s="20">
        <f>F235*AO235</f>
        <v>0</v>
      </c>
      <c r="BI235" s="20">
        <f>F235*AP235</f>
        <v>0</v>
      </c>
      <c r="BJ235" s="20">
        <f>F235*G235</f>
        <v>0</v>
      </c>
    </row>
    <row r="236" spans="4:6" ht="12.75">
      <c r="D236" s="17" t="s">
        <v>326</v>
      </c>
      <c r="F236" s="21">
        <v>6</v>
      </c>
    </row>
    <row r="237" spans="1:47" ht="12.75">
      <c r="A237" s="4"/>
      <c r="B237" s="14" t="s">
        <v>96</v>
      </c>
      <c r="C237" s="14" t="s">
        <v>159</v>
      </c>
      <c r="D237" s="14" t="s">
        <v>302</v>
      </c>
      <c r="E237" s="4" t="s">
        <v>6</v>
      </c>
      <c r="F237" s="4" t="s">
        <v>6</v>
      </c>
      <c r="G237" s="4" t="s">
        <v>6</v>
      </c>
      <c r="H237" s="41">
        <f>SUM(H238:H246)</f>
        <v>0</v>
      </c>
      <c r="I237" s="41">
        <f>SUM(I238:I246)</f>
        <v>0</v>
      </c>
      <c r="J237" s="41">
        <f>SUM(J238:J246)</f>
        <v>0</v>
      </c>
      <c r="K237" s="30"/>
      <c r="L237" s="41">
        <f>SUM(L238:L246)</f>
        <v>3.03732</v>
      </c>
      <c r="M237" s="30"/>
      <c r="AI237" s="30" t="s">
        <v>96</v>
      </c>
      <c r="AS237" s="41">
        <f>SUM(AJ238:AJ246)</f>
        <v>0</v>
      </c>
      <c r="AT237" s="41">
        <f>SUM(AK238:AK246)</f>
        <v>0</v>
      </c>
      <c r="AU237" s="41">
        <f>SUM(AL238:AL246)</f>
        <v>0</v>
      </c>
    </row>
    <row r="238" spans="1:62" ht="12.75">
      <c r="A238" s="5" t="s">
        <v>86</v>
      </c>
      <c r="B238" s="5" t="s">
        <v>96</v>
      </c>
      <c r="C238" s="5" t="s">
        <v>161</v>
      </c>
      <c r="D238" s="5" t="s">
        <v>328</v>
      </c>
      <c r="E238" s="5" t="s">
        <v>334</v>
      </c>
      <c r="F238" s="20">
        <v>51.48</v>
      </c>
      <c r="G238" s="20">
        <v>0</v>
      </c>
      <c r="H238" s="20">
        <f>F238*AO238</f>
        <v>0</v>
      </c>
      <c r="I238" s="20">
        <f>F238*AP238</f>
        <v>0</v>
      </c>
      <c r="J238" s="20">
        <f>F238*G238</f>
        <v>0</v>
      </c>
      <c r="K238" s="20">
        <v>0.059</v>
      </c>
      <c r="L238" s="20">
        <f>F238*K238</f>
        <v>3.03732</v>
      </c>
      <c r="M238" s="34" t="s">
        <v>355</v>
      </c>
      <c r="Z238" s="38">
        <f>IF(AQ238="5",BJ238,0)</f>
        <v>0</v>
      </c>
      <c r="AB238" s="38">
        <f>IF(AQ238="1",BH238,0)</f>
        <v>0</v>
      </c>
      <c r="AC238" s="38">
        <f>IF(AQ238="1",BI238,0)</f>
        <v>0</v>
      </c>
      <c r="AD238" s="38">
        <f>IF(AQ238="7",BH238,0)</f>
        <v>0</v>
      </c>
      <c r="AE238" s="38">
        <f>IF(AQ238="7",BI238,0)</f>
        <v>0</v>
      </c>
      <c r="AF238" s="38">
        <f>IF(AQ238="2",BH238,0)</f>
        <v>0</v>
      </c>
      <c r="AG238" s="38">
        <f>IF(AQ238="2",BI238,0)</f>
        <v>0</v>
      </c>
      <c r="AH238" s="38">
        <f>IF(AQ238="0",BJ238,0)</f>
        <v>0</v>
      </c>
      <c r="AI238" s="30" t="s">
        <v>96</v>
      </c>
      <c r="AJ238" s="20">
        <f>IF(AN238=0,J238,0)</f>
        <v>0</v>
      </c>
      <c r="AK238" s="20">
        <f>IF(AN238=15,J238,0)</f>
        <v>0</v>
      </c>
      <c r="AL238" s="20">
        <f>IF(AN238=21,J238,0)</f>
        <v>0</v>
      </c>
      <c r="AN238" s="38">
        <v>21</v>
      </c>
      <c r="AO238" s="38">
        <f>G238*0</f>
        <v>0</v>
      </c>
      <c r="AP238" s="38">
        <f>G238*(1-0)</f>
        <v>0</v>
      </c>
      <c r="AQ238" s="34" t="s">
        <v>7</v>
      </c>
      <c r="AV238" s="38">
        <f>AW238+AX238</f>
        <v>0</v>
      </c>
      <c r="AW238" s="38">
        <f>F238*AO238</f>
        <v>0</v>
      </c>
      <c r="AX238" s="38">
        <f>F238*AP238</f>
        <v>0</v>
      </c>
      <c r="AY238" s="39" t="s">
        <v>374</v>
      </c>
      <c r="AZ238" s="39" t="s">
        <v>388</v>
      </c>
      <c r="BA238" s="30" t="s">
        <v>390</v>
      </c>
      <c r="BC238" s="38">
        <f>AW238+AX238</f>
        <v>0</v>
      </c>
      <c r="BD238" s="38">
        <f>G238/(100-BE238)*100</f>
        <v>0</v>
      </c>
      <c r="BE238" s="38">
        <v>0</v>
      </c>
      <c r="BF238" s="38">
        <f>L238</f>
        <v>3.03732</v>
      </c>
      <c r="BH238" s="20">
        <f>F238*AO238</f>
        <v>0</v>
      </c>
      <c r="BI238" s="20">
        <f>F238*AP238</f>
        <v>0</v>
      </c>
      <c r="BJ238" s="20">
        <f>F238*G238</f>
        <v>0</v>
      </c>
    </row>
    <row r="239" spans="4:6" ht="12.75">
      <c r="D239" s="17" t="s">
        <v>321</v>
      </c>
      <c r="F239" s="21">
        <v>40.34</v>
      </c>
    </row>
    <row r="240" spans="4:6" ht="12.75">
      <c r="D240" s="17" t="s">
        <v>322</v>
      </c>
      <c r="F240" s="21">
        <v>5.22</v>
      </c>
    </row>
    <row r="241" spans="4:6" ht="12.75">
      <c r="D241" s="17" t="s">
        <v>323</v>
      </c>
      <c r="F241" s="21">
        <v>5.92</v>
      </c>
    </row>
    <row r="242" spans="1:62" ht="12.75">
      <c r="A242" s="5" t="s">
        <v>87</v>
      </c>
      <c r="B242" s="5" t="s">
        <v>96</v>
      </c>
      <c r="C242" s="5" t="s">
        <v>164</v>
      </c>
      <c r="D242" s="5" t="s">
        <v>307</v>
      </c>
      <c r="E242" s="5" t="s">
        <v>335</v>
      </c>
      <c r="F242" s="20">
        <v>2.92</v>
      </c>
      <c r="G242" s="20">
        <v>0</v>
      </c>
      <c r="H242" s="20">
        <f>F242*AO242</f>
        <v>0</v>
      </c>
      <c r="I242" s="20">
        <f>F242*AP242</f>
        <v>0</v>
      </c>
      <c r="J242" s="20">
        <f>F242*G242</f>
        <v>0</v>
      </c>
      <c r="K242" s="20">
        <v>0</v>
      </c>
      <c r="L242" s="20">
        <f>F242*K242</f>
        <v>0</v>
      </c>
      <c r="M242" s="34" t="s">
        <v>355</v>
      </c>
      <c r="Z242" s="38">
        <f>IF(AQ242="5",BJ242,0)</f>
        <v>0</v>
      </c>
      <c r="AB242" s="38">
        <f>IF(AQ242="1",BH242,0)</f>
        <v>0</v>
      </c>
      <c r="AC242" s="38">
        <f>IF(AQ242="1",BI242,0)</f>
        <v>0</v>
      </c>
      <c r="AD242" s="38">
        <f>IF(AQ242="7",BH242,0)</f>
        <v>0</v>
      </c>
      <c r="AE242" s="38">
        <f>IF(AQ242="7",BI242,0)</f>
        <v>0</v>
      </c>
      <c r="AF242" s="38">
        <f>IF(AQ242="2",BH242,0)</f>
        <v>0</v>
      </c>
      <c r="AG242" s="38">
        <f>IF(AQ242="2",BI242,0)</f>
        <v>0</v>
      </c>
      <c r="AH242" s="38">
        <f>IF(AQ242="0",BJ242,0)</f>
        <v>0</v>
      </c>
      <c r="AI242" s="30" t="s">
        <v>96</v>
      </c>
      <c r="AJ242" s="20">
        <f>IF(AN242=0,J242,0)</f>
        <v>0</v>
      </c>
      <c r="AK242" s="20">
        <f>IF(AN242=15,J242,0)</f>
        <v>0</v>
      </c>
      <c r="AL242" s="20">
        <f>IF(AN242=21,J242,0)</f>
        <v>0</v>
      </c>
      <c r="AN242" s="38">
        <v>21</v>
      </c>
      <c r="AO242" s="38">
        <f>G242*0</f>
        <v>0</v>
      </c>
      <c r="AP242" s="38">
        <f>G242*(1-0)</f>
        <v>0</v>
      </c>
      <c r="AQ242" s="34" t="s">
        <v>11</v>
      </c>
      <c r="AV242" s="38">
        <f>AW242+AX242</f>
        <v>0</v>
      </c>
      <c r="AW242" s="38">
        <f>F242*AO242</f>
        <v>0</v>
      </c>
      <c r="AX242" s="38">
        <f>F242*AP242</f>
        <v>0</v>
      </c>
      <c r="AY242" s="39" t="s">
        <v>374</v>
      </c>
      <c r="AZ242" s="39" t="s">
        <v>388</v>
      </c>
      <c r="BA242" s="30" t="s">
        <v>390</v>
      </c>
      <c r="BC242" s="38">
        <f>AW242+AX242</f>
        <v>0</v>
      </c>
      <c r="BD242" s="38">
        <f>G242/(100-BE242)*100</f>
        <v>0</v>
      </c>
      <c r="BE242" s="38">
        <v>0</v>
      </c>
      <c r="BF242" s="38">
        <f>L242</f>
        <v>0</v>
      </c>
      <c r="BH242" s="20">
        <f>F242*AO242</f>
        <v>0</v>
      </c>
      <c r="BI242" s="20">
        <f>F242*AP242</f>
        <v>0</v>
      </c>
      <c r="BJ242" s="20">
        <f>F242*G242</f>
        <v>0</v>
      </c>
    </row>
    <row r="243" spans="1:62" ht="12.75">
      <c r="A243" s="5" t="s">
        <v>88</v>
      </c>
      <c r="B243" s="5" t="s">
        <v>96</v>
      </c>
      <c r="C243" s="5" t="s">
        <v>165</v>
      </c>
      <c r="D243" s="5" t="s">
        <v>308</v>
      </c>
      <c r="E243" s="5" t="s">
        <v>335</v>
      </c>
      <c r="F243" s="20">
        <v>2.92</v>
      </c>
      <c r="G243" s="20">
        <v>0</v>
      </c>
      <c r="H243" s="20">
        <f>F243*AO243</f>
        <v>0</v>
      </c>
      <c r="I243" s="20">
        <f>F243*AP243</f>
        <v>0</v>
      </c>
      <c r="J243" s="20">
        <f>F243*G243</f>
        <v>0</v>
      </c>
      <c r="K243" s="20">
        <v>0</v>
      </c>
      <c r="L243" s="20">
        <f>F243*K243</f>
        <v>0</v>
      </c>
      <c r="M243" s="34" t="s">
        <v>355</v>
      </c>
      <c r="Z243" s="38">
        <f>IF(AQ243="5",BJ243,0)</f>
        <v>0</v>
      </c>
      <c r="AB243" s="38">
        <f>IF(AQ243="1",BH243,0)</f>
        <v>0</v>
      </c>
      <c r="AC243" s="38">
        <f>IF(AQ243="1",BI243,0)</f>
        <v>0</v>
      </c>
      <c r="AD243" s="38">
        <f>IF(AQ243="7",BH243,0)</f>
        <v>0</v>
      </c>
      <c r="AE243" s="38">
        <f>IF(AQ243="7",BI243,0)</f>
        <v>0</v>
      </c>
      <c r="AF243" s="38">
        <f>IF(AQ243="2",BH243,0)</f>
        <v>0</v>
      </c>
      <c r="AG243" s="38">
        <f>IF(AQ243="2",BI243,0)</f>
        <v>0</v>
      </c>
      <c r="AH243" s="38">
        <f>IF(AQ243="0",BJ243,0)</f>
        <v>0</v>
      </c>
      <c r="AI243" s="30" t="s">
        <v>96</v>
      </c>
      <c r="AJ243" s="20">
        <f>IF(AN243=0,J243,0)</f>
        <v>0</v>
      </c>
      <c r="AK243" s="20">
        <f>IF(AN243=15,J243,0)</f>
        <v>0</v>
      </c>
      <c r="AL243" s="20">
        <f>IF(AN243=21,J243,0)</f>
        <v>0</v>
      </c>
      <c r="AN243" s="38">
        <v>21</v>
      </c>
      <c r="AO243" s="38">
        <f>G243*0</f>
        <v>0</v>
      </c>
      <c r="AP243" s="38">
        <f>G243*(1-0)</f>
        <v>0</v>
      </c>
      <c r="AQ243" s="34" t="s">
        <v>11</v>
      </c>
      <c r="AV243" s="38">
        <f>AW243+AX243</f>
        <v>0</v>
      </c>
      <c r="AW243" s="38">
        <f>F243*AO243</f>
        <v>0</v>
      </c>
      <c r="AX243" s="38">
        <f>F243*AP243</f>
        <v>0</v>
      </c>
      <c r="AY243" s="39" t="s">
        <v>374</v>
      </c>
      <c r="AZ243" s="39" t="s">
        <v>388</v>
      </c>
      <c r="BA243" s="30" t="s">
        <v>390</v>
      </c>
      <c r="BC243" s="38">
        <f>AW243+AX243</f>
        <v>0</v>
      </c>
      <c r="BD243" s="38">
        <f>G243/(100-BE243)*100</f>
        <v>0</v>
      </c>
      <c r="BE243" s="38">
        <v>0</v>
      </c>
      <c r="BF243" s="38">
        <f>L243</f>
        <v>0</v>
      </c>
      <c r="BH243" s="20">
        <f>F243*AO243</f>
        <v>0</v>
      </c>
      <c r="BI243" s="20">
        <f>F243*AP243</f>
        <v>0</v>
      </c>
      <c r="BJ243" s="20">
        <f>F243*G243</f>
        <v>0</v>
      </c>
    </row>
    <row r="244" spans="1:62" ht="12.75">
      <c r="A244" s="5" t="s">
        <v>89</v>
      </c>
      <c r="B244" s="5" t="s">
        <v>96</v>
      </c>
      <c r="C244" s="5" t="s">
        <v>166</v>
      </c>
      <c r="D244" s="5" t="s">
        <v>309</v>
      </c>
      <c r="E244" s="5" t="s">
        <v>335</v>
      </c>
      <c r="F244" s="20">
        <v>26.29</v>
      </c>
      <c r="G244" s="20">
        <v>0</v>
      </c>
      <c r="H244" s="20">
        <f>F244*AO244</f>
        <v>0</v>
      </c>
      <c r="I244" s="20">
        <f>F244*AP244</f>
        <v>0</v>
      </c>
      <c r="J244" s="20">
        <f>F244*G244</f>
        <v>0</v>
      </c>
      <c r="K244" s="20">
        <v>0</v>
      </c>
      <c r="L244" s="20">
        <f>F244*K244</f>
        <v>0</v>
      </c>
      <c r="M244" s="34" t="s">
        <v>355</v>
      </c>
      <c r="Z244" s="38">
        <f>IF(AQ244="5",BJ244,0)</f>
        <v>0</v>
      </c>
      <c r="AB244" s="38">
        <f>IF(AQ244="1",BH244,0)</f>
        <v>0</v>
      </c>
      <c r="AC244" s="38">
        <f>IF(AQ244="1",BI244,0)</f>
        <v>0</v>
      </c>
      <c r="AD244" s="38">
        <f>IF(AQ244="7",BH244,0)</f>
        <v>0</v>
      </c>
      <c r="AE244" s="38">
        <f>IF(AQ244="7",BI244,0)</f>
        <v>0</v>
      </c>
      <c r="AF244" s="38">
        <f>IF(AQ244="2",BH244,0)</f>
        <v>0</v>
      </c>
      <c r="AG244" s="38">
        <f>IF(AQ244="2",BI244,0)</f>
        <v>0</v>
      </c>
      <c r="AH244" s="38">
        <f>IF(AQ244="0",BJ244,0)</f>
        <v>0</v>
      </c>
      <c r="AI244" s="30" t="s">
        <v>96</v>
      </c>
      <c r="AJ244" s="20">
        <f>IF(AN244=0,J244,0)</f>
        <v>0</v>
      </c>
      <c r="AK244" s="20">
        <f>IF(AN244=15,J244,0)</f>
        <v>0</v>
      </c>
      <c r="AL244" s="20">
        <f>IF(AN244=21,J244,0)</f>
        <v>0</v>
      </c>
      <c r="AN244" s="38">
        <v>21</v>
      </c>
      <c r="AO244" s="38">
        <f>G244*0</f>
        <v>0</v>
      </c>
      <c r="AP244" s="38">
        <f>G244*(1-0)</f>
        <v>0</v>
      </c>
      <c r="AQ244" s="34" t="s">
        <v>11</v>
      </c>
      <c r="AV244" s="38">
        <f>AW244+AX244</f>
        <v>0</v>
      </c>
      <c r="AW244" s="38">
        <f>F244*AO244</f>
        <v>0</v>
      </c>
      <c r="AX244" s="38">
        <f>F244*AP244</f>
        <v>0</v>
      </c>
      <c r="AY244" s="39" t="s">
        <v>374</v>
      </c>
      <c r="AZ244" s="39" t="s">
        <v>388</v>
      </c>
      <c r="BA244" s="30" t="s">
        <v>390</v>
      </c>
      <c r="BC244" s="38">
        <f>AW244+AX244</f>
        <v>0</v>
      </c>
      <c r="BD244" s="38">
        <f>G244/(100-BE244)*100</f>
        <v>0</v>
      </c>
      <c r="BE244" s="38">
        <v>0</v>
      </c>
      <c r="BF244" s="38">
        <f>L244</f>
        <v>0</v>
      </c>
      <c r="BH244" s="20">
        <f>F244*AO244</f>
        <v>0</v>
      </c>
      <c r="BI244" s="20">
        <f>F244*AP244</f>
        <v>0</v>
      </c>
      <c r="BJ244" s="20">
        <f>F244*G244</f>
        <v>0</v>
      </c>
    </row>
    <row r="245" spans="4:6" ht="12.75">
      <c r="D245" s="17" t="s">
        <v>329</v>
      </c>
      <c r="F245" s="21">
        <v>26.29</v>
      </c>
    </row>
    <row r="246" spans="1:62" ht="12.75">
      <c r="A246" s="5" t="s">
        <v>90</v>
      </c>
      <c r="B246" s="5" t="s">
        <v>96</v>
      </c>
      <c r="C246" s="5" t="s">
        <v>167</v>
      </c>
      <c r="D246" s="5" t="s">
        <v>311</v>
      </c>
      <c r="E246" s="5" t="s">
        <v>335</v>
      </c>
      <c r="F246" s="20">
        <v>2.92</v>
      </c>
      <c r="G246" s="20">
        <v>0</v>
      </c>
      <c r="H246" s="20">
        <f>F246*AO246</f>
        <v>0</v>
      </c>
      <c r="I246" s="20">
        <f>F246*AP246</f>
        <v>0</v>
      </c>
      <c r="J246" s="20">
        <f>F246*G246</f>
        <v>0</v>
      </c>
      <c r="K246" s="20">
        <v>0</v>
      </c>
      <c r="L246" s="20">
        <f>F246*K246</f>
        <v>0</v>
      </c>
      <c r="M246" s="34" t="s">
        <v>355</v>
      </c>
      <c r="Z246" s="38">
        <f>IF(AQ246="5",BJ246,0)</f>
        <v>0</v>
      </c>
      <c r="AB246" s="38">
        <f>IF(AQ246="1",BH246,0)</f>
        <v>0</v>
      </c>
      <c r="AC246" s="38">
        <f>IF(AQ246="1",BI246,0)</f>
        <v>0</v>
      </c>
      <c r="AD246" s="38">
        <f>IF(AQ246="7",BH246,0)</f>
        <v>0</v>
      </c>
      <c r="AE246" s="38">
        <f>IF(AQ246="7",BI246,0)</f>
        <v>0</v>
      </c>
      <c r="AF246" s="38">
        <f>IF(AQ246="2",BH246,0)</f>
        <v>0</v>
      </c>
      <c r="AG246" s="38">
        <f>IF(AQ246="2",BI246,0)</f>
        <v>0</v>
      </c>
      <c r="AH246" s="38">
        <f>IF(AQ246="0",BJ246,0)</f>
        <v>0</v>
      </c>
      <c r="AI246" s="30" t="s">
        <v>96</v>
      </c>
      <c r="AJ246" s="20">
        <f>IF(AN246=0,J246,0)</f>
        <v>0</v>
      </c>
      <c r="AK246" s="20">
        <f>IF(AN246=15,J246,0)</f>
        <v>0</v>
      </c>
      <c r="AL246" s="20">
        <f>IF(AN246=21,J246,0)</f>
        <v>0</v>
      </c>
      <c r="AN246" s="38">
        <v>21</v>
      </c>
      <c r="AO246" s="38">
        <f>G246*0</f>
        <v>0</v>
      </c>
      <c r="AP246" s="38">
        <f>G246*(1-0)</f>
        <v>0</v>
      </c>
      <c r="AQ246" s="34" t="s">
        <v>11</v>
      </c>
      <c r="AV246" s="38">
        <f>AW246+AX246</f>
        <v>0</v>
      </c>
      <c r="AW246" s="38">
        <f>F246*AO246</f>
        <v>0</v>
      </c>
      <c r="AX246" s="38">
        <f>F246*AP246</f>
        <v>0</v>
      </c>
      <c r="AY246" s="39" t="s">
        <v>374</v>
      </c>
      <c r="AZ246" s="39" t="s">
        <v>388</v>
      </c>
      <c r="BA246" s="30" t="s">
        <v>390</v>
      </c>
      <c r="BC246" s="38">
        <f>AW246+AX246</f>
        <v>0</v>
      </c>
      <c r="BD246" s="38">
        <f>G246/(100-BE246)*100</f>
        <v>0</v>
      </c>
      <c r="BE246" s="38">
        <v>0</v>
      </c>
      <c r="BF246" s="38">
        <f>L246</f>
        <v>0</v>
      </c>
      <c r="BH246" s="20">
        <f>F246*AO246</f>
        <v>0</v>
      </c>
      <c r="BI246" s="20">
        <f>F246*AP246</f>
        <v>0</v>
      </c>
      <c r="BJ246" s="20">
        <f>F246*G246</f>
        <v>0</v>
      </c>
    </row>
    <row r="247" spans="1:47" ht="12.75">
      <c r="A247" s="4"/>
      <c r="B247" s="14" t="s">
        <v>96</v>
      </c>
      <c r="C247" s="14" t="s">
        <v>170</v>
      </c>
      <c r="D247" s="14" t="s">
        <v>314</v>
      </c>
      <c r="E247" s="4" t="s">
        <v>6</v>
      </c>
      <c r="F247" s="4" t="s">
        <v>6</v>
      </c>
      <c r="G247" s="4" t="s">
        <v>6</v>
      </c>
      <c r="H247" s="41">
        <f>SUM(H248:H249)</f>
        <v>0</v>
      </c>
      <c r="I247" s="41">
        <f>SUM(I248:I249)</f>
        <v>0</v>
      </c>
      <c r="J247" s="41">
        <f>SUM(J248:J249)</f>
        <v>0</v>
      </c>
      <c r="K247" s="30"/>
      <c r="L247" s="41">
        <f>SUM(L248:L249)</f>
        <v>0</v>
      </c>
      <c r="M247" s="30"/>
      <c r="AI247" s="30" t="s">
        <v>96</v>
      </c>
      <c r="AS247" s="41">
        <f>SUM(AJ248:AJ249)</f>
        <v>0</v>
      </c>
      <c r="AT247" s="41">
        <f>SUM(AK248:AK249)</f>
        <v>0</v>
      </c>
      <c r="AU247" s="41">
        <f>SUM(AL248:AL249)</f>
        <v>0</v>
      </c>
    </row>
    <row r="248" spans="1:62" ht="12.75">
      <c r="A248" s="5" t="s">
        <v>91</v>
      </c>
      <c r="B248" s="5" t="s">
        <v>96</v>
      </c>
      <c r="C248" s="5" t="s">
        <v>171</v>
      </c>
      <c r="D248" s="5" t="s">
        <v>315</v>
      </c>
      <c r="E248" s="5" t="s">
        <v>334</v>
      </c>
      <c r="F248" s="20">
        <v>22</v>
      </c>
      <c r="G248" s="20">
        <v>0</v>
      </c>
      <c r="H248" s="20">
        <f>F248*AO248</f>
        <v>0</v>
      </c>
      <c r="I248" s="20">
        <f>F248*AP248</f>
        <v>0</v>
      </c>
      <c r="J248" s="20">
        <f>F248*G248</f>
        <v>0</v>
      </c>
      <c r="K248" s="20">
        <v>0</v>
      </c>
      <c r="L248" s="20">
        <f>F248*K248</f>
        <v>0</v>
      </c>
      <c r="M248" s="68" t="s">
        <v>356</v>
      </c>
      <c r="Z248" s="38">
        <f>IF(AQ248="5",BJ248,0)</f>
        <v>0</v>
      </c>
      <c r="AB248" s="38">
        <f>IF(AQ248="1",BH248,0)</f>
        <v>0</v>
      </c>
      <c r="AC248" s="38">
        <f>IF(AQ248="1",BI248,0)</f>
        <v>0</v>
      </c>
      <c r="AD248" s="38">
        <f>IF(AQ248="7",BH248,0)</f>
        <v>0</v>
      </c>
      <c r="AE248" s="38">
        <f>IF(AQ248="7",BI248,0)</f>
        <v>0</v>
      </c>
      <c r="AF248" s="38">
        <f>IF(AQ248="2",BH248,0)</f>
        <v>0</v>
      </c>
      <c r="AG248" s="38">
        <f>IF(AQ248="2",BI248,0)</f>
        <v>0</v>
      </c>
      <c r="AH248" s="38">
        <f>IF(AQ248="0",BJ248,0)</f>
        <v>0</v>
      </c>
      <c r="AI248" s="30" t="s">
        <v>96</v>
      </c>
      <c r="AJ248" s="20">
        <f>IF(AN248=0,J248,0)</f>
        <v>0</v>
      </c>
      <c r="AK248" s="20">
        <f>IF(AN248=15,J248,0)</f>
        <v>0</v>
      </c>
      <c r="AL248" s="20">
        <f>IF(AN248=21,J248,0)</f>
        <v>0</v>
      </c>
      <c r="AN248" s="38">
        <v>21</v>
      </c>
      <c r="AO248" s="38">
        <f>G248*0</f>
        <v>0</v>
      </c>
      <c r="AP248" s="38">
        <f>G248*(1-0)</f>
        <v>0</v>
      </c>
      <c r="AQ248" s="34" t="s">
        <v>7</v>
      </c>
      <c r="AV248" s="38">
        <f>AW248+AX248</f>
        <v>0</v>
      </c>
      <c r="AW248" s="38">
        <f>F248*AO248</f>
        <v>0</v>
      </c>
      <c r="AX248" s="38">
        <f>F248*AP248</f>
        <v>0</v>
      </c>
      <c r="AY248" s="39" t="s">
        <v>376</v>
      </c>
      <c r="AZ248" s="39" t="s">
        <v>388</v>
      </c>
      <c r="BA248" s="30" t="s">
        <v>390</v>
      </c>
      <c r="BC248" s="38">
        <f>AW248+AX248</f>
        <v>0</v>
      </c>
      <c r="BD248" s="38">
        <f>G248/(100-BE248)*100</f>
        <v>0</v>
      </c>
      <c r="BE248" s="38">
        <v>0</v>
      </c>
      <c r="BF248" s="38">
        <f>L248</f>
        <v>0</v>
      </c>
      <c r="BH248" s="20">
        <f>F248*AO248</f>
        <v>0</v>
      </c>
      <c r="BI248" s="20">
        <f>F248*AP248</f>
        <v>0</v>
      </c>
      <c r="BJ248" s="20">
        <f>F248*G248</f>
        <v>0</v>
      </c>
    </row>
    <row r="249" spans="1:62" ht="12.75">
      <c r="A249" s="8" t="s">
        <v>92</v>
      </c>
      <c r="B249" s="8" t="s">
        <v>96</v>
      </c>
      <c r="C249" s="8" t="s">
        <v>172</v>
      </c>
      <c r="D249" s="8" t="s">
        <v>316</v>
      </c>
      <c r="E249" s="8" t="s">
        <v>338</v>
      </c>
      <c r="F249" s="23">
        <v>1</v>
      </c>
      <c r="G249" s="23">
        <v>0</v>
      </c>
      <c r="H249" s="23">
        <f>F249*AO249</f>
        <v>0</v>
      </c>
      <c r="I249" s="23">
        <f>F249*AP249</f>
        <v>0</v>
      </c>
      <c r="J249" s="23">
        <f>F249*G249</f>
        <v>0</v>
      </c>
      <c r="K249" s="23">
        <v>0</v>
      </c>
      <c r="L249" s="23">
        <f>F249*K249</f>
        <v>0</v>
      </c>
      <c r="M249" s="69" t="s">
        <v>356</v>
      </c>
      <c r="Z249" s="38">
        <f>IF(AQ249="5",BJ249,0)</f>
        <v>0</v>
      </c>
      <c r="AB249" s="38">
        <f>IF(AQ249="1",BH249,0)</f>
        <v>0</v>
      </c>
      <c r="AC249" s="38">
        <f>IF(AQ249="1",BI249,0)</f>
        <v>0</v>
      </c>
      <c r="AD249" s="38">
        <f>IF(AQ249="7",BH249,0)</f>
        <v>0</v>
      </c>
      <c r="AE249" s="38">
        <f>IF(AQ249="7",BI249,0)</f>
        <v>0</v>
      </c>
      <c r="AF249" s="38">
        <f>IF(AQ249="2",BH249,0)</f>
        <v>0</v>
      </c>
      <c r="AG249" s="38">
        <f>IF(AQ249="2",BI249,0)</f>
        <v>0</v>
      </c>
      <c r="AH249" s="38">
        <f>IF(AQ249="0",BJ249,0)</f>
        <v>0</v>
      </c>
      <c r="AI249" s="30" t="s">
        <v>96</v>
      </c>
      <c r="AJ249" s="20">
        <f>IF(AN249=0,J249,0)</f>
        <v>0</v>
      </c>
      <c r="AK249" s="20">
        <f>IF(AN249=15,J249,0)</f>
        <v>0</v>
      </c>
      <c r="AL249" s="20">
        <f>IF(AN249=21,J249,0)</f>
        <v>0</v>
      </c>
      <c r="AN249" s="38">
        <v>21</v>
      </c>
      <c r="AO249" s="38">
        <f>G249*0</f>
        <v>0</v>
      </c>
      <c r="AP249" s="38">
        <f>G249*(1-0)</f>
        <v>0</v>
      </c>
      <c r="AQ249" s="34" t="s">
        <v>7</v>
      </c>
      <c r="AV249" s="38">
        <f>AW249+AX249</f>
        <v>0</v>
      </c>
      <c r="AW249" s="38">
        <f>F249*AO249</f>
        <v>0</v>
      </c>
      <c r="AX249" s="38">
        <f>F249*AP249</f>
        <v>0</v>
      </c>
      <c r="AY249" s="39" t="s">
        <v>376</v>
      </c>
      <c r="AZ249" s="39" t="s">
        <v>388</v>
      </c>
      <c r="BA249" s="30" t="s">
        <v>390</v>
      </c>
      <c r="BC249" s="38">
        <f>AW249+AX249</f>
        <v>0</v>
      </c>
      <c r="BD249" s="38">
        <f>G249/(100-BE249)*100</f>
        <v>0</v>
      </c>
      <c r="BE249" s="38">
        <v>0</v>
      </c>
      <c r="BF249" s="38">
        <f>L249</f>
        <v>0</v>
      </c>
      <c r="BH249" s="20">
        <f>F249*AO249</f>
        <v>0</v>
      </c>
      <c r="BI249" s="20">
        <f>F249*AP249</f>
        <v>0</v>
      </c>
      <c r="BJ249" s="20">
        <f>F249*G249</f>
        <v>0</v>
      </c>
    </row>
    <row r="250" spans="1:13" ht="12.75">
      <c r="A250" s="9"/>
      <c r="B250" s="9"/>
      <c r="C250" s="9"/>
      <c r="D250" s="9"/>
      <c r="E250" s="9"/>
      <c r="F250" s="9"/>
      <c r="G250" s="9"/>
      <c r="H250" s="137" t="s">
        <v>349</v>
      </c>
      <c r="I250" s="128"/>
      <c r="J250" s="43">
        <f>ROUND(J13+J22+J31+J36+J52+J84+J119+J135+J178+J204+J206+J210+J232+J237+J247,0)</f>
        <v>0</v>
      </c>
      <c r="K250" s="9"/>
      <c r="L250" s="9"/>
      <c r="M250" s="9"/>
    </row>
    <row r="251" ht="11.25" customHeight="1">
      <c r="A251" s="10" t="s">
        <v>93</v>
      </c>
    </row>
    <row r="252" spans="1:13" ht="12.75">
      <c r="A252" s="116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</row>
  </sheetData>
  <sheetProtection/>
  <mergeCells count="29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I6:M7"/>
    <mergeCell ref="H10:J10"/>
    <mergeCell ref="K10:L10"/>
    <mergeCell ref="H250:I250"/>
    <mergeCell ref="A252:M252"/>
    <mergeCell ref="A8:C9"/>
    <mergeCell ref="D8:D9"/>
    <mergeCell ref="E8:F9"/>
    <mergeCell ref="G8:G9"/>
    <mergeCell ref="H8:H9"/>
    <mergeCell ref="I8:M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2019-04-02T08:57:11Z</dcterms:created>
  <dcterms:modified xsi:type="dcterms:W3CDTF">2019-04-02T09:08:56Z</dcterms:modified>
  <cp:category/>
  <cp:version/>
  <cp:contentType/>
  <cp:contentStatus/>
</cp:coreProperties>
</file>