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4"/>
  </bookViews>
  <sheets>
    <sheet name="Krycí list rozpočtu" sheetId="1" r:id="rId1"/>
    <sheet name="VORN" sheetId="2" r:id="rId2"/>
    <sheet name="Rozpočet - objekty" sheetId="3" r:id="rId3"/>
    <sheet name="Rozpočet - skupiny" sheetId="4" r:id="rId4"/>
    <sheet name="Stavební rozpočet" sheetId="5" r:id="rId5"/>
  </sheets>
  <definedNames>
    <definedName name="vorn_sum">'VORN'!$I$36:$I$36</definedName>
  </definedNames>
  <calcPr fullCalcOnLoad="1"/>
</workbook>
</file>

<file path=xl/sharedStrings.xml><?xml version="1.0" encoding="utf-8"?>
<sst xmlns="http://schemas.openxmlformats.org/spreadsheetml/2006/main" count="1105" uniqueCount="403">
  <si>
    <t>Název stavby:</t>
  </si>
  <si>
    <t>Druh stavby:</t>
  </si>
  <si>
    <t>Lokalita:</t>
  </si>
  <si>
    <t>Začátek výstavby:</t>
  </si>
  <si>
    <t>JKSO:</t>
  </si>
  <si>
    <t>Rozpočtové náklady v Kč</t>
  </si>
  <si>
    <t>A</t>
  </si>
  <si>
    <t>HSV</t>
  </si>
  <si>
    <t>PSV</t>
  </si>
  <si>
    <t>"M"</t>
  </si>
  <si>
    <t>Ostatní materiál</t>
  </si>
  <si>
    <t>Přesun hmot a sutí</t>
  </si>
  <si>
    <t>ZRN celkem</t>
  </si>
  <si>
    <t>Základ 0%</t>
  </si>
  <si>
    <t>Základ 15%</t>
  </si>
  <si>
    <t>Základ 21%</t>
  </si>
  <si>
    <t>Projektant</t>
  </si>
  <si>
    <t>Datum, razítko a podpis</t>
  </si>
  <si>
    <t>Poznámka:</t>
  </si>
  <si>
    <t>Základní rozpočtové náklady</t>
  </si>
  <si>
    <t>Dodávky</t>
  </si>
  <si>
    <t>Montáž</t>
  </si>
  <si>
    <t>Krycí list slepého rozpočtu</t>
  </si>
  <si>
    <t>B</t>
  </si>
  <si>
    <t>Práce přesčas</t>
  </si>
  <si>
    <t>Bez pevné podl.</t>
  </si>
  <si>
    <t>Kulturní památka</t>
  </si>
  <si>
    <t>DN celkem</t>
  </si>
  <si>
    <t>DN celkem z obj.</t>
  </si>
  <si>
    <t>DPH 15%</t>
  </si>
  <si>
    <t>DPH 21%</t>
  </si>
  <si>
    <t>Objednatel</t>
  </si>
  <si>
    <t>Objednatel:</t>
  </si>
  <si>
    <t>Projektant:</t>
  </si>
  <si>
    <t>Zhotovitel:</t>
  </si>
  <si>
    <t>Konec výstavby:</t>
  </si>
  <si>
    <t>Zpracoval:</t>
  </si>
  <si>
    <t>Doplňkové náklady</t>
  </si>
  <si>
    <t>C</t>
  </si>
  <si>
    <t>Zařízení staveniště</t>
  </si>
  <si>
    <t>Mimostav. doprava</t>
  </si>
  <si>
    <t>Územní vlivy</t>
  </si>
  <si>
    <t>Provozní vlivy</t>
  </si>
  <si>
    <t>Ostatní</t>
  </si>
  <si>
    <t>NUS z rozpočtu</t>
  </si>
  <si>
    <t>NUS celkem</t>
  </si>
  <si>
    <t>NUS celkem z obj.</t>
  </si>
  <si>
    <t>ORN celkem</t>
  </si>
  <si>
    <t>ORN celkem z obj.</t>
  </si>
  <si>
    <t>Celkem bez DPH</t>
  </si>
  <si>
    <t>Celkem včetně DPH</t>
  </si>
  <si>
    <t>Zhotovitel</t>
  </si>
  <si>
    <t>IČ/DIČ:</t>
  </si>
  <si>
    <t>Položek:</t>
  </si>
  <si>
    <t>Datum:</t>
  </si>
  <si>
    <t>Náklady na umístění stavby (NUS)</t>
  </si>
  <si>
    <t>59</t>
  </si>
  <si>
    <t>Vedlejší rozpočtové náklady VRN</t>
  </si>
  <si>
    <t>Doplňkové náklady DN</t>
  </si>
  <si>
    <t>Celkem DN</t>
  </si>
  <si>
    <t>Celkem NUS</t>
  </si>
  <si>
    <t>Celkem VRN</t>
  </si>
  <si>
    <t>Ostatní rozpočtové náklady ORN</t>
  </si>
  <si>
    <t>Ostatní rozpočtové náklady (ORN)</t>
  </si>
  <si>
    <t>Celkem ORN</t>
  </si>
  <si>
    <t>Vedlejší a ostatní rozpočtové náklady</t>
  </si>
  <si>
    <t>Kč</t>
  </si>
  <si>
    <t>%</t>
  </si>
  <si>
    <t>Základna</t>
  </si>
  <si>
    <t>Slepý stavební rozpočet - Jen objekty celkem</t>
  </si>
  <si>
    <t xml:space="preserve"> </t>
  </si>
  <si>
    <t>Zkrácený popis</t>
  </si>
  <si>
    <t>Zpevněné plochy</t>
  </si>
  <si>
    <t>Sestava kontejnerů</t>
  </si>
  <si>
    <t>Vodovodní přípojka</t>
  </si>
  <si>
    <t>Kanalizační přípojka</t>
  </si>
  <si>
    <t>Elektro přípojka ze sokolovny</t>
  </si>
  <si>
    <t>Doba výstavby:</t>
  </si>
  <si>
    <t>Zpracováno dne:</t>
  </si>
  <si>
    <t>Náklady (Kč)</t>
  </si>
  <si>
    <t>Dodávka</t>
  </si>
  <si>
    <t>Celkem:</t>
  </si>
  <si>
    <t>Celkem</t>
  </si>
  <si>
    <t>F</t>
  </si>
  <si>
    <t>SO01</t>
  </si>
  <si>
    <t>SO02</t>
  </si>
  <si>
    <t>SO03</t>
  </si>
  <si>
    <t>SO04</t>
  </si>
  <si>
    <t>SO05</t>
  </si>
  <si>
    <t>Slepý stavební rozpočet - Jen skupiny</t>
  </si>
  <si>
    <t>Kód</t>
  </si>
  <si>
    <t>1</t>
  </si>
  <si>
    <t>2</t>
  </si>
  <si>
    <t>5</t>
  </si>
  <si>
    <t>9</t>
  </si>
  <si>
    <t>76</t>
  </si>
  <si>
    <t>4</t>
  </si>
  <si>
    <t>72</t>
  </si>
  <si>
    <t>8</t>
  </si>
  <si>
    <t>Zemní práce</t>
  </si>
  <si>
    <t>Základy, zvláštní zakládání, zpevňování hornin</t>
  </si>
  <si>
    <t>Komunikace</t>
  </si>
  <si>
    <t>Dokončovací práce, demolice</t>
  </si>
  <si>
    <t>Konstrukce</t>
  </si>
  <si>
    <t>Vodorovné konstrukce</t>
  </si>
  <si>
    <t>Zdravotně technické instalace</t>
  </si>
  <si>
    <t>Trubní vedení</t>
  </si>
  <si>
    <t>T</t>
  </si>
  <si>
    <t>Slepý stavební rozpočet</t>
  </si>
  <si>
    <t>Č</t>
  </si>
  <si>
    <t>3</t>
  </si>
  <si>
    <t>6</t>
  </si>
  <si>
    <t>7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</si>
  <si>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</si>
  <si>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</si>
  <si>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</si>
  <si>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</si>
  <si>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</si>
  <si>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</si>
  <si>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</si>
  <si>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</si>
  <si>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</si>
  <si>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</si>
  <si>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</si>
  <si>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</si>
  <si>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</si>
  <si>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</si>
  <si>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</si>
  <si>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</si>
  <si>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</si>
  <si>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</si>
  <si>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</si>
  <si>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</si>
  <si>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</si>
  <si>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</si>
  <si>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</si>
  <si>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</si>
  <si>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</si>
  <si>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</si>
  <si>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</si>
  <si>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</si>
  <si>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</si>
  <si>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</si>
  <si>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</si>
  <si>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</si>
  <si>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</si>
  <si>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</si>
  <si>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</si>
  <si>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</si>
  <si>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</si>
  <si>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</si>
  <si>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</si>
  <si>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</si>
  <si>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</si>
  <si>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</si>
  <si>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</si>
  <si>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</si>
  <si>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</si>
  <si>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</si>
  <si>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</si>
  <si>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</si>
  <si>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</si>
  <si>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113106121R00</t>
  </si>
  <si>
    <t>113108306R00</t>
  </si>
  <si>
    <t>111</t>
  </si>
  <si>
    <t>111000001VD</t>
  </si>
  <si>
    <t>121101101R00</t>
  </si>
  <si>
    <t>122201101R00</t>
  </si>
  <si>
    <t>132201110R00</t>
  </si>
  <si>
    <t>132201119R00</t>
  </si>
  <si>
    <t>167103101R00</t>
  </si>
  <si>
    <t>162206113R00</t>
  </si>
  <si>
    <t>162601101R00</t>
  </si>
  <si>
    <t>171201101R00</t>
  </si>
  <si>
    <t>182001111R00</t>
  </si>
  <si>
    <t>289971211R00</t>
  </si>
  <si>
    <t>67390503</t>
  </si>
  <si>
    <t>566903111R00</t>
  </si>
  <si>
    <t>564772111R00</t>
  </si>
  <si>
    <t>566501111R00</t>
  </si>
  <si>
    <t>998222012R00</t>
  </si>
  <si>
    <t>572942112R00</t>
  </si>
  <si>
    <t>998225111R00</t>
  </si>
  <si>
    <t>584121111R00</t>
  </si>
  <si>
    <t>593800110030</t>
  </si>
  <si>
    <t>998226111R00</t>
  </si>
  <si>
    <t>596811111R00</t>
  </si>
  <si>
    <t>91</t>
  </si>
  <si>
    <t>916531111RT2</t>
  </si>
  <si>
    <t>Varianta:</t>
  </si>
  <si>
    <t>998223011R00</t>
  </si>
  <si>
    <t>766</t>
  </si>
  <si>
    <t>611666VD</t>
  </si>
  <si>
    <t>611667VD</t>
  </si>
  <si>
    <t>611668VD</t>
  </si>
  <si>
    <t>111000002VD</t>
  </si>
  <si>
    <t>132201211R00</t>
  </si>
  <si>
    <t>132201219R00</t>
  </si>
  <si>
    <t>131201111R00</t>
  </si>
  <si>
    <t>131201119R00</t>
  </si>
  <si>
    <t>161101101R00</t>
  </si>
  <si>
    <t>162701105R00</t>
  </si>
  <si>
    <t>162702199R00</t>
  </si>
  <si>
    <t>175101101RT2</t>
  </si>
  <si>
    <t>174101101R00</t>
  </si>
  <si>
    <t>451573111R00</t>
  </si>
  <si>
    <t>722</t>
  </si>
  <si>
    <t>722172312R00</t>
  </si>
  <si>
    <t>722181214RV9</t>
  </si>
  <si>
    <t>722170911R00</t>
  </si>
  <si>
    <t>722269112R00</t>
  </si>
  <si>
    <t>722265117R00</t>
  </si>
  <si>
    <t>722268112R00</t>
  </si>
  <si>
    <t>722190223R00</t>
  </si>
  <si>
    <t>87</t>
  </si>
  <si>
    <t>871171121R00</t>
  </si>
  <si>
    <t>286134461</t>
  </si>
  <si>
    <t>89</t>
  </si>
  <si>
    <t>893412010RA0</t>
  </si>
  <si>
    <t>M</t>
  </si>
  <si>
    <t>202      R00</t>
  </si>
  <si>
    <t>S</t>
  </si>
  <si>
    <t>998276101R00</t>
  </si>
  <si>
    <t>83</t>
  </si>
  <si>
    <t>831350012RAB</t>
  </si>
  <si>
    <t>M46</t>
  </si>
  <si>
    <t>460680042RT1</t>
  </si>
  <si>
    <t>23170126</t>
  </si>
  <si>
    <t>208      R00</t>
  </si>
  <si>
    <t>M21</t>
  </si>
  <si>
    <t>210100010RAB</t>
  </si>
  <si>
    <t>M22</t>
  </si>
  <si>
    <t>220111776R00</t>
  </si>
  <si>
    <t>220111791R00</t>
  </si>
  <si>
    <t>Atletický stadion v Krnově - sestava kontejnerů</t>
  </si>
  <si>
    <t>dočasná stavba</t>
  </si>
  <si>
    <t>Krnov</t>
  </si>
  <si>
    <t>Zkrácený popis / Varianta</t>
  </si>
  <si>
    <t>Rozměry</t>
  </si>
  <si>
    <t>Přípravné a přidružené práce</t>
  </si>
  <si>
    <t>Rozebrání dlažeb z betonových dlaždic na sucho</t>
  </si>
  <si>
    <t>Odstranění asfaltové vrstvy pl.do 50 m2, tl. 6 cm</t>
  </si>
  <si>
    <t>Přípravné práce</t>
  </si>
  <si>
    <t>Vytyčení  případ. stáv.inž.sítí,vlastní vytyčení zpev. ploch</t>
  </si>
  <si>
    <t>Odkopávky a prokopávky</t>
  </si>
  <si>
    <t>Sejmutí ornice s přemístěním do 50 m</t>
  </si>
  <si>
    <t>Odkopávky nezapažené v hor. 3 do 100 m3</t>
  </si>
  <si>
    <t>Hloubené vykopávky</t>
  </si>
  <si>
    <t>Hloubení rýh š.do 60 cm v hor.3 do 50 m3, STROJNĚ</t>
  </si>
  <si>
    <t>Přípl.za lepivost,hloubení rýh 60 cm,hor.3,STROJNĚ</t>
  </si>
  <si>
    <t>Přemístění výkopku</t>
  </si>
  <si>
    <t>Nakládání výkopku zeminy schopné zúrodnění</t>
  </si>
  <si>
    <t>Vodorovné přemístění zemin pro zúrodnění do 100 m</t>
  </si>
  <si>
    <t>Vodorovné přemístění výkopku z hor.1-4 do 4000 m</t>
  </si>
  <si>
    <t>Konstrukce ze zemin</t>
  </si>
  <si>
    <t>Uložení sypaniny do násypů nezhutněných</t>
  </si>
  <si>
    <t>Povrchové úpravy terénu</t>
  </si>
  <si>
    <t>Plošná úprava terénu, nerovnosti do 10 cm v rovině</t>
  </si>
  <si>
    <t>Zpevňování hornin a konstrukcí</t>
  </si>
  <si>
    <t>Zřízení vrstvy z geotextilie sklon do 1:5 š.do 3 m</t>
  </si>
  <si>
    <t>Geotextilie netkaná 300 g/m2  2x50 m</t>
  </si>
  <si>
    <t>Podkladní vrstvy komunikací a zpevněných ploch</t>
  </si>
  <si>
    <t>Vyspravení podkladu po překopech kam.hrubě drceným, zp. plocha</t>
  </si>
  <si>
    <t>Podklad z kam.drceného 32-63 s výplň.kamen. 25 cm, pod kontejnery</t>
  </si>
  <si>
    <t>Úprava krytu kamenivem drceným do 0,10 m3/m2, zp. plocha</t>
  </si>
  <si>
    <t>Přesun hmot, zpevněné plochy, kryt z kameniva</t>
  </si>
  <si>
    <t>Kryty pozemních komunikací, letišť a ploch z kameniva nebo živičné</t>
  </si>
  <si>
    <t>Vyspravení krytu po překopu lit.asfaltem, do 6 cm</t>
  </si>
  <si>
    <t>Přesun hmot, pozemní komunikace, kryt živičný</t>
  </si>
  <si>
    <t>Kryty pozemních komunikací, letišť a ploch z betonu a ostatních hmot</t>
  </si>
  <si>
    <t>Osazení silničních panelů,lože z kameniva tl. 4 cm</t>
  </si>
  <si>
    <t>Panel silniční KZD 1 300x200x15 cm</t>
  </si>
  <si>
    <t>Přesun hmot, komunikace z panelů předpjatých</t>
  </si>
  <si>
    <t>Kryty pozemních komunikací, letišť a ploch dlážděných (předlažby)</t>
  </si>
  <si>
    <t>Kladení dlaždic kom.pro pěší, lože z kameniva těž.</t>
  </si>
  <si>
    <t>Doplňující konstrukce a práce na pozemních komunikacích a zpevněných plochách</t>
  </si>
  <si>
    <t>Osazení záhon.obrubníků do lože z C12/15 bez opěry, včetně obrubníku   50/5/20 cm</t>
  </si>
  <si>
    <t>včetně obrubníku   50/5/20 cm</t>
  </si>
  <si>
    <t>Přesun hmot, pozemní komunikace, kryt dlážděný</t>
  </si>
  <si>
    <t>Konstrukce truhlářské</t>
  </si>
  <si>
    <t>Kontejner 1 WC</t>
  </si>
  <si>
    <t>Kontejner 2 šatna</t>
  </si>
  <si>
    <t>Kontejner 3 sklad</t>
  </si>
  <si>
    <t>Vlastní vytyčení vod.přípojky</t>
  </si>
  <si>
    <t>Hloubení rýh š.do 200 cm hor.3 do 100 m3,STROJNĚ</t>
  </si>
  <si>
    <t>Příplatek za lepivost - hloubení rýh 200cm v hor.3</t>
  </si>
  <si>
    <t>Hloubení nezapaž. jam hor.3 do 100 m3, STROJNĚ</t>
  </si>
  <si>
    <t>Příplatek za lepivost - hloubení nezap.jam v hor.3</t>
  </si>
  <si>
    <t>Svislé přemístění výkopku z hor.1-4 do 2,5 m,rýha a jáma</t>
  </si>
  <si>
    <t>Vodorovné přemístění výkopku z hor.1-4 do 10000 m</t>
  </si>
  <si>
    <t>Poplatek za skládku zeminy</t>
  </si>
  <si>
    <t>Obsyp potrubí bez prohození sypaniny s dodáním prosívky nebo štěrkopísku</t>
  </si>
  <si>
    <t>s dodáním štěrkopísku frakce 0 - 22 mm</t>
  </si>
  <si>
    <t>Zásyp jam, rýh, šachet se zhutněním</t>
  </si>
  <si>
    <t>Podkladní a vedlejší konstrukce (kromě vozovek)</t>
  </si>
  <si>
    <t>Lože pod potrubí ze štěrkopísku</t>
  </si>
  <si>
    <t>Vnitřní vodovod</t>
  </si>
  <si>
    <t>Potrubí z PPR, D 25x3,5 mm, PN 16, vč.zed.výpom.</t>
  </si>
  <si>
    <t>Izolace návleková MIRELON PRO tl. stěny 20 mm</t>
  </si>
  <si>
    <t>vnitřní průměr 40 mm</t>
  </si>
  <si>
    <t>Potrubí z PE trubek,vsazení odbočky D 32</t>
  </si>
  <si>
    <t>Montáž vodoměru závitového jdnovt. suchob. G3/4"</t>
  </si>
  <si>
    <t>Vodoměr domovní SV  420 DN32x260mm, Qn 6,0</t>
  </si>
  <si>
    <t>Sestava Hawle se šroubením a kohouty DN 25-20</t>
  </si>
  <si>
    <t>Přípojky vodovodní pro pevné připojení DN 25</t>
  </si>
  <si>
    <t>Potrubí z trub plastických, skleněných a čedičových</t>
  </si>
  <si>
    <t>Montáž trubek polyetylenových ve výkopu d 40 mm</t>
  </si>
  <si>
    <t>Trubka SDR 11  40 x 3,7 mm návin voda</t>
  </si>
  <si>
    <t>Ostatní konstrukce a práce na trubním vedení</t>
  </si>
  <si>
    <t>Šachta vodoměrná plast.hranatá samonosná v.1200 mm, komplet</t>
  </si>
  <si>
    <t>Montážní přirážky</t>
  </si>
  <si>
    <t>Zednické výpomoci hsv       čl.13-2</t>
  </si>
  <si>
    <t>Přesuny sutí</t>
  </si>
  <si>
    <t>Přesun hmot, trubní vedení plastová, otevř. výkop</t>
  </si>
  <si>
    <t>Potrubí z trub kameninových</t>
  </si>
  <si>
    <t>Kanalizace z trub PVC hrdlových D 125 mm, komplet</t>
  </si>
  <si>
    <t>hloubka 1,5 m</t>
  </si>
  <si>
    <t>Zemní práce při montážích</t>
  </si>
  <si>
    <t>Průraz zdivem v betonové zdi tloušťky 30 cm</t>
  </si>
  <si>
    <t>plochy do 0,09 m2</t>
  </si>
  <si>
    <t>Soudal studnařská montážní pěna 750 ml</t>
  </si>
  <si>
    <t>Práce malého rozsahu    čl.14-1a, včetně zednické výpomoci</t>
  </si>
  <si>
    <t>Elektromontáže</t>
  </si>
  <si>
    <t>Přípojka elektro v zemi pro kontejnery domy včetně zemních prací</t>
  </si>
  <si>
    <t>v chodníku, kabel AYKY 4 x 16</t>
  </si>
  <si>
    <t>Montáže sdělovací a zabezpečovací techniky</t>
  </si>
  <si>
    <t>Vedení uzemnění v zemi FeZN drát do 120 mm2</t>
  </si>
  <si>
    <t>Uzemnění střešníku</t>
  </si>
  <si>
    <t>04.06.2021</t>
  </si>
  <si>
    <t>MJ</t>
  </si>
  <si>
    <t>m2</t>
  </si>
  <si>
    <t>Soubor</t>
  </si>
  <si>
    <t>m3</t>
  </si>
  <si>
    <t>t</t>
  </si>
  <si>
    <t>kus</t>
  </si>
  <si>
    <t>m</t>
  </si>
  <si>
    <t>soubor</t>
  </si>
  <si>
    <t>Množství</t>
  </si>
  <si>
    <t>Cena/MJ</t>
  </si>
  <si>
    <t>(Kč)</t>
  </si>
  <si>
    <t> </t>
  </si>
  <si>
    <t>Ing. Karel Oubělický – OK Project</t>
  </si>
  <si>
    <t>Boris Mičánek</t>
  </si>
  <si>
    <t>Přesuny</t>
  </si>
  <si>
    <t>Typ skupiny</t>
  </si>
  <si>
    <t>HSV mat</t>
  </si>
  <si>
    <t>HSV prac</t>
  </si>
  <si>
    <t>PSV mat</t>
  </si>
  <si>
    <t>PSV prac</t>
  </si>
  <si>
    <t>Mont mat</t>
  </si>
  <si>
    <t>Mont prac</t>
  </si>
  <si>
    <t>Ostatní mat.</t>
  </si>
  <si>
    <t>0</t>
  </si>
  <si>
    <t>11_</t>
  </si>
  <si>
    <t>111_</t>
  </si>
  <si>
    <t>12_</t>
  </si>
  <si>
    <t>13_</t>
  </si>
  <si>
    <t>16_</t>
  </si>
  <si>
    <t>17_</t>
  </si>
  <si>
    <t>18_</t>
  </si>
  <si>
    <t>28_</t>
  </si>
  <si>
    <t>56_</t>
  </si>
  <si>
    <t>57_</t>
  </si>
  <si>
    <t>58_</t>
  </si>
  <si>
    <t>59_</t>
  </si>
  <si>
    <t>91_</t>
  </si>
  <si>
    <t>766_</t>
  </si>
  <si>
    <t>45_</t>
  </si>
  <si>
    <t>722_</t>
  </si>
  <si>
    <t>87_</t>
  </si>
  <si>
    <t>89_</t>
  </si>
  <si>
    <t>M_</t>
  </si>
  <si>
    <t>S_</t>
  </si>
  <si>
    <t>83_</t>
  </si>
  <si>
    <t>M46_</t>
  </si>
  <si>
    <t>Z99999_</t>
  </si>
  <si>
    <t>M21_</t>
  </si>
  <si>
    <t>M22_</t>
  </si>
  <si>
    <t>SO01_1_</t>
  </si>
  <si>
    <t>SO01_2_</t>
  </si>
  <si>
    <t>SO01_5_</t>
  </si>
  <si>
    <t>SO01_9_</t>
  </si>
  <si>
    <t>SO02_76_</t>
  </si>
  <si>
    <t>SO03_1_</t>
  </si>
  <si>
    <t>SO03_4_</t>
  </si>
  <si>
    <t>SO03_72_</t>
  </si>
  <si>
    <t>SO03_8_</t>
  </si>
  <si>
    <t>SO03_9_</t>
  </si>
  <si>
    <t>SO04_8_</t>
  </si>
  <si>
    <t>SO04_9_</t>
  </si>
  <si>
    <t>SO04_Z_</t>
  </si>
  <si>
    <t>SO05_9_</t>
  </si>
  <si>
    <t>SO01_</t>
  </si>
  <si>
    <t>SO02_</t>
  </si>
  <si>
    <t>SO03_</t>
  </si>
  <si>
    <t>SO04_</t>
  </si>
  <si>
    <t>SO05_</t>
  </si>
  <si>
    <t>MAT</t>
  </si>
  <si>
    <t>WORK</t>
  </si>
  <si>
    <t>CELK</t>
  </si>
  <si>
    <t>ISWORK</t>
  </si>
  <si>
    <t>P</t>
  </si>
  <si>
    <t>GROUPCODE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</si>
</sst>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dd/mm/yy"/>
    <numFmt numFmtId="167" formatCode="dd\.mmmm\.yy"/>
  </numFmts>
  <fonts count="50">
    <font>
      <sz val="10"/>
      <name val="Arial"/>
      <family val="0"/>
    </font>
    <font>
      <sz val="10"/>
      <color indexed="8"/>
      <name val="Arial"/>
      <family val="0"/>
    </font>
    <font>
      <b/>
      <sz val="18"/>
      <color indexed="8"/>
      <name val="Arial"/>
      <family val="0"/>
    </font>
    <font>
      <b/>
      <sz val="20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i/>
      <sz val="8"/>
      <color indexed="8"/>
      <name val="Arial"/>
      <family val="0"/>
    </font>
    <font>
      <b/>
      <sz val="11"/>
      <color indexed="8"/>
      <name val="Arial"/>
      <family val="0"/>
    </font>
    <font>
      <sz val="18"/>
      <color indexed="8"/>
      <name val="Arial"/>
      <family val="0"/>
    </font>
    <font>
      <b/>
      <sz val="10"/>
      <color indexed="8"/>
      <name val="Arial"/>
      <family val="0"/>
    </font>
    <font>
      <sz val="10"/>
      <color indexed="54"/>
      <name val="Arial"/>
      <family val="0"/>
    </font>
    <font>
      <sz val="10"/>
      <color indexed="56"/>
      <name val="Arial"/>
      <family val="0"/>
    </font>
    <font>
      <sz val="10"/>
      <color indexed="61"/>
      <name val="Arial"/>
      <family val="0"/>
    </font>
    <font>
      <sz val="10"/>
      <color indexed="62"/>
      <name val="Arial"/>
      <family val="0"/>
    </font>
    <font>
      <b/>
      <sz val="10"/>
      <color indexed="54"/>
      <name val="Arial"/>
      <family val="0"/>
    </font>
    <font>
      <b/>
      <sz val="10"/>
      <color indexed="56"/>
      <name val="Arial"/>
      <family val="0"/>
    </font>
    <font>
      <i/>
      <sz val="10"/>
      <color indexed="58"/>
      <name val="Arial"/>
      <family val="0"/>
    </font>
    <font>
      <i/>
      <sz val="10"/>
      <color indexed="59"/>
      <name val="Arial"/>
      <family val="0"/>
    </font>
    <font>
      <sz val="18"/>
      <color indexed="23"/>
      <name val="Calibri Light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6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 style="thin"/>
      <bottom style="medium"/>
    </border>
    <border>
      <left/>
      <right/>
      <top style="medium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 style="thin"/>
      <top style="thin"/>
      <bottom style="medium"/>
    </border>
    <border>
      <left/>
      <right style="thin"/>
      <top style="medium"/>
      <bottom/>
    </border>
    <border>
      <left/>
      <right style="thin"/>
      <top/>
      <bottom/>
    </border>
    <border>
      <left style="thin"/>
      <right/>
      <top/>
      <bottom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medium"/>
      <bottom style="medium"/>
    </border>
    <border>
      <left/>
      <right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/>
      <top style="medium"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>
        <color indexed="63"/>
      </bottom>
    </border>
    <border>
      <left style="thin"/>
      <right style="thin"/>
      <top/>
      <bottom>
        <color indexed="63"/>
      </bottom>
    </border>
    <border>
      <left style="thin">
        <color indexed="22"/>
      </left>
      <right>
        <color indexed="63"/>
      </right>
      <top style="medium">
        <color indexed="22"/>
      </top>
      <bottom style="thin">
        <color indexed="22"/>
      </bottom>
    </border>
    <border>
      <left style="thin"/>
      <right style="medium"/>
      <top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thin">
        <color indexed="22"/>
      </left>
      <right style="thin">
        <color indexed="22"/>
      </right>
      <top style="medium">
        <color indexed="22"/>
      </top>
      <bottom style="thin">
        <color indexed="2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165" fontId="0" fillId="0" borderId="0" applyFont="0" applyFill="0" applyBorder="0" applyAlignment="0" applyProtection="0"/>
    <xf numFmtId="0" fontId="1" fillId="0" borderId="0">
      <alignment vertical="center"/>
      <protection locked="0"/>
    </xf>
    <xf numFmtId="0" fontId="36" fillId="20" borderId="2" applyNumberFormat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0" fillId="22" borderId="6" applyNumberFormat="0" applyFont="0" applyAlignment="0" applyProtection="0"/>
    <xf numFmtId="165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208">
    <xf numFmtId="0" fontId="1" fillId="0" borderId="0" xfId="0" applyFont="1" applyAlignment="1">
      <alignment vertical="center"/>
    </xf>
    <xf numFmtId="0" fontId="1" fillId="0" borderId="10" xfId="0" applyNumberFormat="1" applyFont="1" applyFill="1" applyBorder="1" applyAlignment="1" applyProtection="1">
      <alignment vertical="center"/>
      <protection/>
    </xf>
    <xf numFmtId="49" fontId="3" fillId="33" borderId="11" xfId="0" applyNumberFormat="1" applyFont="1" applyFill="1" applyBorder="1" applyAlignment="1" applyProtection="1">
      <alignment horizontal="center" vertical="center"/>
      <protection/>
    </xf>
    <xf numFmtId="49" fontId="4" fillId="0" borderId="12" xfId="0" applyNumberFormat="1" applyFont="1" applyFill="1" applyBorder="1" applyAlignment="1" applyProtection="1">
      <alignment horizontal="left" vertical="center"/>
      <protection/>
    </xf>
    <xf numFmtId="49" fontId="4" fillId="0" borderId="13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vertical="center"/>
      <protection/>
    </xf>
    <xf numFmtId="0" fontId="1" fillId="0" borderId="15" xfId="0" applyNumberFormat="1" applyFont="1" applyFill="1" applyBorder="1" applyAlignment="1" applyProtection="1">
      <alignment vertical="center"/>
      <protection/>
    </xf>
    <xf numFmtId="49" fontId="6" fillId="0" borderId="16" xfId="0" applyNumberFormat="1" applyFont="1" applyFill="1" applyBorder="1" applyAlignment="1" applyProtection="1">
      <alignment horizontal="left" vertical="center"/>
      <protection/>
    </xf>
    <xf numFmtId="49" fontId="5" fillId="0" borderId="11" xfId="0" applyNumberFormat="1" applyFont="1" applyFill="1" applyBorder="1" applyAlignment="1" applyProtection="1">
      <alignment horizontal="left" vertical="center"/>
      <protection/>
    </xf>
    <xf numFmtId="0" fontId="1" fillId="0" borderId="16" xfId="0" applyNumberFormat="1" applyFont="1" applyFill="1" applyBorder="1" applyAlignment="1" applyProtection="1">
      <alignment vertical="center"/>
      <protection/>
    </xf>
    <xf numFmtId="0" fontId="1" fillId="0" borderId="17" xfId="0" applyNumberFormat="1" applyFont="1" applyFill="1" applyBorder="1" applyAlignment="1" applyProtection="1">
      <alignment vertical="center"/>
      <protection/>
    </xf>
    <xf numFmtId="0" fontId="1" fillId="0" borderId="18" xfId="0" applyNumberFormat="1" applyFont="1" applyFill="1" applyBorder="1" applyAlignment="1" applyProtection="1">
      <alignment vertical="center"/>
      <protection/>
    </xf>
    <xf numFmtId="4" fontId="5" fillId="0" borderId="11" xfId="0" applyNumberFormat="1" applyFont="1" applyFill="1" applyBorder="1" applyAlignment="1" applyProtection="1">
      <alignment horizontal="right" vertical="center"/>
      <protection/>
    </xf>
    <xf numFmtId="49" fontId="5" fillId="0" borderId="11" xfId="0" applyNumberFormat="1" applyFont="1" applyFill="1" applyBorder="1" applyAlignment="1" applyProtection="1">
      <alignment horizontal="right" vertical="center"/>
      <protection/>
    </xf>
    <xf numFmtId="4" fontId="5" fillId="0" borderId="19" xfId="0" applyNumberFormat="1" applyFont="1" applyFill="1" applyBorder="1" applyAlignment="1" applyProtection="1">
      <alignment horizontal="right" vertical="center"/>
      <protection/>
    </xf>
    <xf numFmtId="0" fontId="1" fillId="0" borderId="20" xfId="0" applyNumberFormat="1" applyFont="1" applyFill="1" applyBorder="1" applyAlignment="1" applyProtection="1">
      <alignment vertical="center"/>
      <protection/>
    </xf>
    <xf numFmtId="0" fontId="1" fillId="0" borderId="21" xfId="0" applyNumberFormat="1" applyFont="1" applyFill="1" applyBorder="1" applyAlignment="1" applyProtection="1">
      <alignment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22" xfId="0" applyNumberFormat="1" applyFont="1" applyFill="1" applyBorder="1" applyAlignment="1" applyProtection="1">
      <alignment vertical="center"/>
      <protection/>
    </xf>
    <xf numFmtId="0" fontId="1" fillId="0" borderId="23" xfId="0" applyNumberFormat="1" applyFont="1" applyFill="1" applyBorder="1" applyAlignment="1" applyProtection="1">
      <alignment vertical="center"/>
      <protection/>
    </xf>
    <xf numFmtId="4" fontId="4" fillId="33" borderId="24" xfId="0" applyNumberFormat="1" applyFont="1" applyFill="1" applyBorder="1" applyAlignment="1" applyProtection="1">
      <alignment horizontal="right" vertical="center"/>
      <protection/>
    </xf>
    <xf numFmtId="0" fontId="1" fillId="0" borderId="25" xfId="0" applyNumberFormat="1" applyFont="1" applyFill="1" applyBorder="1" applyAlignment="1" applyProtection="1">
      <alignment vertical="center"/>
      <protection/>
    </xf>
    <xf numFmtId="0" fontId="1" fillId="0" borderId="26" xfId="0" applyNumberFormat="1" applyFont="1" applyFill="1" applyBorder="1" applyAlignment="1" applyProtection="1">
      <alignment vertical="center"/>
      <protection/>
    </xf>
    <xf numFmtId="49" fontId="9" fillId="0" borderId="27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9" xfId="0" applyNumberFormat="1" applyFont="1" applyFill="1" applyBorder="1" applyAlignment="1" applyProtection="1">
      <alignment horizontal="right" vertical="center"/>
      <protection/>
    </xf>
    <xf numFmtId="49" fontId="9" fillId="0" borderId="28" xfId="0" applyNumberFormat="1" applyFont="1" applyFill="1" applyBorder="1" applyAlignment="1" applyProtection="1">
      <alignment horizontal="left" vertical="center"/>
      <protection/>
    </xf>
    <xf numFmtId="49" fontId="1" fillId="0" borderId="11" xfId="0" applyNumberFormat="1" applyFont="1" applyFill="1" applyBorder="1" applyAlignment="1" applyProtection="1">
      <alignment horizontal="left" vertical="center"/>
      <protection/>
    </xf>
    <xf numFmtId="49" fontId="1" fillId="0" borderId="19" xfId="0" applyNumberFormat="1" applyFont="1" applyFill="1" applyBorder="1" applyAlignment="1" applyProtection="1">
      <alignment horizontal="left" vertical="center"/>
      <protection/>
    </xf>
    <xf numFmtId="49" fontId="9" fillId="0" borderId="28" xfId="0" applyNumberFormat="1" applyFont="1" applyFill="1" applyBorder="1" applyAlignment="1" applyProtection="1">
      <alignment horizontal="right" vertical="center"/>
      <protection/>
    </xf>
    <xf numFmtId="4" fontId="9" fillId="0" borderId="28" xfId="0" applyNumberFormat="1" applyFont="1" applyFill="1" applyBorder="1" applyAlignment="1" applyProtection="1">
      <alignment horizontal="right" vertical="center"/>
      <protection/>
    </xf>
    <xf numFmtId="49" fontId="1" fillId="0" borderId="29" xfId="0" applyNumberFormat="1" applyFont="1" applyFill="1" applyBorder="1" applyAlignment="1" applyProtection="1">
      <alignment horizontal="left" vertical="center"/>
      <protection/>
    </xf>
    <xf numFmtId="49" fontId="1" fillId="0" borderId="22" xfId="0" applyNumberFormat="1" applyFont="1" applyFill="1" applyBorder="1" applyAlignment="1" applyProtection="1">
      <alignment horizontal="left" vertical="center"/>
      <protection/>
    </xf>
    <xf numFmtId="49" fontId="1" fillId="0" borderId="18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9" fillId="0" borderId="30" xfId="0" applyNumberFormat="1" applyFont="1" applyFill="1" applyBorder="1" applyAlignment="1" applyProtection="1">
      <alignment horizontal="center" vertical="center"/>
      <protection/>
    </xf>
    <xf numFmtId="49" fontId="9" fillId="0" borderId="19" xfId="0" applyNumberFormat="1" applyFont="1" applyFill="1" applyBorder="1" applyAlignment="1" applyProtection="1">
      <alignment horizontal="center" vertical="center"/>
      <protection/>
    </xf>
    <xf numFmtId="49" fontId="9" fillId="0" borderId="31" xfId="0" applyNumberFormat="1" applyFont="1" applyFill="1" applyBorder="1" applyAlignment="1" applyProtection="1">
      <alignment horizontal="center" vertical="center"/>
      <protection/>
    </xf>
    <xf numFmtId="4" fontId="1" fillId="0" borderId="22" xfId="0" applyNumberFormat="1" applyFont="1" applyFill="1" applyBorder="1" applyAlignment="1" applyProtection="1">
      <alignment horizontal="right" vertical="center"/>
      <protection/>
    </xf>
    <xf numFmtId="4" fontId="1" fillId="0" borderId="16" xfId="0" applyNumberFormat="1" applyFont="1" applyFill="1" applyBorder="1" applyAlignment="1" applyProtection="1">
      <alignment horizontal="right" vertical="center"/>
      <protection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0" xfId="0" applyNumberFormat="1" applyFont="1" applyFill="1" applyBorder="1" applyAlignment="1" applyProtection="1">
      <alignment horizontal="right" vertical="center"/>
      <protection/>
    </xf>
    <xf numFmtId="4" fontId="1" fillId="0" borderId="20" xfId="0" applyNumberFormat="1" applyFont="1" applyFill="1" applyBorder="1" applyAlignment="1" applyProtection="1">
      <alignment horizontal="right" vertical="center"/>
      <protection/>
    </xf>
    <xf numFmtId="4" fontId="1" fillId="0" borderId="21" xfId="0" applyNumberFormat="1" applyFont="1" applyFill="1" applyBorder="1" applyAlignment="1" applyProtection="1">
      <alignment horizontal="right" vertical="center"/>
      <protection/>
    </xf>
    <xf numFmtId="4" fontId="1" fillId="0" borderId="32" xfId="0" applyNumberFormat="1" applyFont="1" applyFill="1" applyBorder="1" applyAlignment="1" applyProtection="1">
      <alignment horizontal="right" vertical="center"/>
      <protection/>
    </xf>
    <xf numFmtId="4" fontId="9" fillId="0" borderId="14" xfId="0" applyNumberFormat="1" applyFont="1" applyFill="1" applyBorder="1" applyAlignment="1" applyProtection="1">
      <alignment horizontal="right" vertical="center"/>
      <protection/>
    </xf>
    <xf numFmtId="49" fontId="1" fillId="0" borderId="33" xfId="0" applyNumberFormat="1" applyFont="1" applyFill="1" applyBorder="1" applyAlignment="1" applyProtection="1">
      <alignment horizontal="left" vertical="center"/>
      <protection/>
    </xf>
    <xf numFmtId="49" fontId="9" fillId="0" borderId="34" xfId="0" applyNumberFormat="1" applyFont="1" applyFill="1" applyBorder="1" applyAlignment="1" applyProtection="1">
      <alignment horizontal="left" vertical="center"/>
      <protection/>
    </xf>
    <xf numFmtId="49" fontId="9" fillId="0" borderId="33" xfId="0" applyNumberFormat="1" applyFont="1" applyFill="1" applyBorder="1" applyAlignment="1" applyProtection="1">
      <alignment horizontal="left" vertical="center"/>
      <protection/>
    </xf>
    <xf numFmtId="49" fontId="11" fillId="34" borderId="22" xfId="0" applyNumberFormat="1" applyFont="1" applyFill="1" applyBorder="1" applyAlignment="1" applyProtection="1">
      <alignment horizontal="left" vertical="center"/>
      <protection/>
    </xf>
    <xf numFmtId="49" fontId="12" fillId="0" borderId="22" xfId="0" applyNumberFormat="1" applyFont="1" applyFill="1" applyBorder="1" applyAlignment="1" applyProtection="1">
      <alignment horizontal="left" vertical="center"/>
      <protection/>
    </xf>
    <xf numFmtId="49" fontId="13" fillId="0" borderId="22" xfId="0" applyNumberFormat="1" applyFont="1" applyFill="1" applyBorder="1" applyAlignment="1" applyProtection="1">
      <alignment horizontal="left" vertical="center"/>
      <protection/>
    </xf>
    <xf numFmtId="49" fontId="10" fillId="35" borderId="22" xfId="0" applyNumberFormat="1" applyFont="1" applyFill="1" applyBorder="1" applyAlignment="1" applyProtection="1">
      <alignment horizontal="left" vertical="center"/>
      <protection/>
    </xf>
    <xf numFmtId="49" fontId="12" fillId="0" borderId="18" xfId="0" applyNumberFormat="1" applyFont="1" applyFill="1" applyBorder="1" applyAlignment="1" applyProtection="1">
      <alignment horizontal="left" vertical="center"/>
      <protection/>
    </xf>
    <xf numFmtId="49" fontId="9" fillId="0" borderId="35" xfId="0" applyNumberFormat="1" applyFont="1" applyFill="1" applyBorder="1" applyAlignment="1" applyProtection="1">
      <alignment horizontal="left" vertical="center"/>
      <protection/>
    </xf>
    <xf numFmtId="49" fontId="15" fillId="34" borderId="0" xfId="0" applyNumberFormat="1" applyFont="1" applyFill="1" applyBorder="1" applyAlignment="1" applyProtection="1">
      <alignment horizontal="left" vertical="center"/>
      <protection/>
    </xf>
    <xf numFmtId="49" fontId="12" fillId="0" borderId="0" xfId="0" applyNumberFormat="1" applyFont="1" applyFill="1" applyBorder="1" applyAlignment="1" applyProtection="1">
      <alignment horizontal="left" vertical="center"/>
      <protection/>
    </xf>
    <xf numFmtId="49" fontId="13" fillId="0" borderId="0" xfId="0" applyNumberFormat="1" applyFont="1" applyFill="1" applyBorder="1" applyAlignment="1" applyProtection="1">
      <alignment horizontal="left" vertical="center"/>
      <protection/>
    </xf>
    <xf numFmtId="49" fontId="16" fillId="0" borderId="0" xfId="0" applyNumberFormat="1" applyFont="1" applyFill="1" applyBorder="1" applyAlignment="1" applyProtection="1">
      <alignment horizontal="right" vertical="top"/>
      <protection/>
    </xf>
    <xf numFmtId="49" fontId="14" fillId="35" borderId="0" xfId="0" applyNumberFormat="1" applyFont="1" applyFill="1" applyBorder="1" applyAlignment="1" applyProtection="1">
      <alignment horizontal="left" vertical="center"/>
      <protection/>
    </xf>
    <xf numFmtId="49" fontId="12" fillId="0" borderId="10" xfId="0" applyNumberFormat="1" applyFont="1" applyFill="1" applyBorder="1" applyAlignment="1" applyProtection="1">
      <alignment horizontal="left" vertical="center"/>
      <protection/>
    </xf>
    <xf numFmtId="49" fontId="11" fillId="34" borderId="0" xfId="0" applyNumberFormat="1" applyFont="1" applyFill="1" applyBorder="1" applyAlignment="1" applyProtection="1">
      <alignment horizontal="left" vertical="center"/>
      <protection/>
    </xf>
    <xf numFmtId="49" fontId="10" fillId="35" borderId="0" xfId="0" applyNumberFormat="1" applyFont="1" applyFill="1" applyBorder="1" applyAlignment="1" applyProtection="1">
      <alignment horizontal="left" vertical="center"/>
      <protection/>
    </xf>
    <xf numFmtId="49" fontId="9" fillId="0" borderId="35" xfId="0" applyNumberFormat="1" applyFont="1" applyFill="1" applyBorder="1" applyAlignment="1" applyProtection="1">
      <alignment horizontal="center" vertical="center"/>
      <protection/>
    </xf>
    <xf numFmtId="4" fontId="12" fillId="0" borderId="0" xfId="0" applyNumberFormat="1" applyFont="1" applyFill="1" applyBorder="1" applyAlignment="1" applyProtection="1">
      <alignment horizontal="right" vertical="center"/>
      <protection/>
    </xf>
    <xf numFmtId="4" fontId="13" fillId="0" borderId="0" xfId="0" applyNumberFormat="1" applyFont="1" applyFill="1" applyBorder="1" applyAlignment="1" applyProtection="1">
      <alignment horizontal="right" vertical="center"/>
      <protection/>
    </xf>
    <xf numFmtId="4" fontId="12" fillId="0" borderId="10" xfId="0" applyNumberFormat="1" applyFont="1" applyFill="1" applyBorder="1" applyAlignment="1" applyProtection="1">
      <alignment horizontal="right" vertical="center"/>
      <protection/>
    </xf>
    <xf numFmtId="49" fontId="9" fillId="0" borderId="36" xfId="0" applyNumberFormat="1" applyFont="1" applyFill="1" applyBorder="1" applyAlignment="1" applyProtection="1">
      <alignment horizontal="center" vertical="center"/>
      <protection/>
    </xf>
    <xf numFmtId="49" fontId="15" fillId="34" borderId="0" xfId="0" applyNumberFormat="1" applyFont="1" applyFill="1" applyBorder="1" applyAlignment="1" applyProtection="1">
      <alignment horizontal="right" vertical="center"/>
      <protection/>
    </xf>
    <xf numFmtId="49" fontId="12" fillId="0" borderId="0" xfId="0" applyNumberFormat="1" applyFont="1" applyFill="1" applyBorder="1" applyAlignment="1" applyProtection="1">
      <alignment horizontal="right" vertical="center"/>
      <protection/>
    </xf>
    <xf numFmtId="49" fontId="13" fillId="0" borderId="0" xfId="0" applyNumberFormat="1" applyFont="1" applyFill="1" applyBorder="1" applyAlignment="1" applyProtection="1">
      <alignment horizontal="right" vertical="center"/>
      <protection/>
    </xf>
    <xf numFmtId="49" fontId="1" fillId="0" borderId="0" xfId="0" applyNumberFormat="1" applyFont="1" applyFill="1" applyBorder="1" applyAlignment="1" applyProtection="1">
      <alignment horizontal="right" vertical="center"/>
      <protection/>
    </xf>
    <xf numFmtId="49" fontId="9" fillId="0" borderId="0" xfId="0" applyNumberFormat="1" applyFont="1" applyFill="1" applyBorder="1" applyAlignment="1" applyProtection="1">
      <alignment horizontal="right" vertical="center"/>
      <protection/>
    </xf>
    <xf numFmtId="4" fontId="15" fillId="34" borderId="0" xfId="0" applyNumberFormat="1" applyFont="1" applyFill="1" applyBorder="1" applyAlignment="1" applyProtection="1">
      <alignment horizontal="right" vertical="center"/>
      <protection/>
    </xf>
    <xf numFmtId="4" fontId="14" fillId="35" borderId="0" xfId="0" applyNumberFormat="1" applyFont="1" applyFill="1" applyBorder="1" applyAlignment="1" applyProtection="1">
      <alignment horizontal="right" vertical="center"/>
      <protection/>
    </xf>
    <xf numFmtId="49" fontId="1" fillId="0" borderId="37" xfId="0" applyNumberFormat="1" applyFont="1" applyFill="1" applyBorder="1" applyAlignment="1" applyProtection="1">
      <alignment horizontal="left" vertical="center"/>
      <protection/>
    </xf>
    <xf numFmtId="49" fontId="1" fillId="0" borderId="38" xfId="0" applyNumberFormat="1" applyFont="1" applyFill="1" applyBorder="1" applyAlignment="1" applyProtection="1">
      <alignment horizontal="left" vertical="center"/>
      <protection/>
    </xf>
    <xf numFmtId="49" fontId="10" fillId="36" borderId="39" xfId="0" applyNumberFormat="1" applyFont="1" applyFill="1" applyBorder="1" applyAlignment="1" applyProtection="1">
      <alignment horizontal="left" vertical="center"/>
      <protection/>
    </xf>
    <xf numFmtId="49" fontId="14" fillId="36" borderId="39" xfId="0" applyNumberFormat="1" applyFont="1" applyFill="1" applyBorder="1" applyAlignment="1" applyProtection="1">
      <alignment horizontal="left" vertical="center"/>
      <protection/>
    </xf>
    <xf numFmtId="49" fontId="9" fillId="0" borderId="40" xfId="0" applyNumberFormat="1" applyFont="1" applyFill="1" applyBorder="1" applyAlignment="1" applyProtection="1">
      <alignment horizontal="center" vertical="center"/>
      <protection/>
    </xf>
    <xf numFmtId="49" fontId="9" fillId="0" borderId="41" xfId="0" applyNumberFormat="1" applyFont="1" applyFill="1" applyBorder="1" applyAlignment="1" applyProtection="1">
      <alignment horizontal="center" vertical="center"/>
      <protection/>
    </xf>
    <xf numFmtId="49" fontId="9" fillId="0" borderId="12" xfId="0" applyNumberFormat="1" applyFont="1" applyFill="1" applyBorder="1" applyAlignment="1" applyProtection="1">
      <alignment horizontal="center" vertical="center"/>
      <protection/>
    </xf>
    <xf numFmtId="4" fontId="14" fillId="36" borderId="39" xfId="0" applyNumberFormat="1" applyFont="1" applyFill="1" applyBorder="1" applyAlignment="1" applyProtection="1">
      <alignment horizontal="right" vertical="center"/>
      <protection/>
    </xf>
    <xf numFmtId="49" fontId="9" fillId="0" borderId="42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49" fontId="11" fillId="36" borderId="43" xfId="0" applyNumberFormat="1" applyFont="1" applyFill="1" applyBorder="1" applyAlignment="1" applyProtection="1">
      <alignment horizontal="left" vertical="center"/>
      <protection/>
    </xf>
    <xf numFmtId="49" fontId="15" fillId="36" borderId="43" xfId="0" applyNumberFormat="1" applyFont="1" applyFill="1" applyBorder="1" applyAlignment="1" applyProtection="1">
      <alignment horizontal="left" vertical="center"/>
      <protection/>
    </xf>
    <xf numFmtId="49" fontId="12" fillId="37" borderId="44" xfId="0" applyNumberFormat="1" applyFont="1" applyFill="1" applyBorder="1" applyAlignment="1" applyProtection="1">
      <alignment horizontal="left" vertical="center"/>
      <protection/>
    </xf>
    <xf numFmtId="4" fontId="12" fillId="37" borderId="44" xfId="0" applyNumberFormat="1" applyFont="1" applyFill="1" applyBorder="1" applyAlignment="1" applyProtection="1">
      <alignment horizontal="right" vertical="center"/>
      <protection/>
    </xf>
    <xf numFmtId="4" fontId="15" fillId="36" borderId="43" xfId="0" applyNumberFormat="1" applyFont="1" applyFill="1" applyBorder="1" applyAlignment="1" applyProtection="1">
      <alignment horizontal="right" vertical="center"/>
      <protection/>
    </xf>
    <xf numFmtId="49" fontId="12" fillId="37" borderId="43" xfId="0" applyNumberFormat="1" applyFont="1" applyFill="1" applyBorder="1" applyAlignment="1" applyProtection="1">
      <alignment horizontal="left" vertical="center"/>
      <protection/>
    </xf>
    <xf numFmtId="4" fontId="12" fillId="37" borderId="43" xfId="0" applyNumberFormat="1" applyFont="1" applyFill="1" applyBorder="1" applyAlignment="1" applyProtection="1">
      <alignment horizontal="right" vertical="center"/>
      <protection/>
    </xf>
    <xf numFmtId="49" fontId="13" fillId="37" borderId="44" xfId="0" applyNumberFormat="1" applyFont="1" applyFill="1" applyBorder="1" applyAlignment="1" applyProtection="1">
      <alignment horizontal="left" vertical="center"/>
      <protection/>
    </xf>
    <xf numFmtId="4" fontId="13" fillId="37" borderId="44" xfId="0" applyNumberFormat="1" applyFont="1" applyFill="1" applyBorder="1" applyAlignment="1" applyProtection="1">
      <alignment horizontal="right" vertical="center"/>
      <protection/>
    </xf>
    <xf numFmtId="49" fontId="13" fillId="37" borderId="43" xfId="0" applyNumberFormat="1" applyFont="1" applyFill="1" applyBorder="1" applyAlignment="1" applyProtection="1">
      <alignment horizontal="left" vertical="center"/>
      <protection/>
    </xf>
    <xf numFmtId="4" fontId="13" fillId="37" borderId="43" xfId="0" applyNumberFormat="1" applyFont="1" applyFill="1" applyBorder="1" applyAlignment="1" applyProtection="1">
      <alignment horizontal="right" vertical="center"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49" fontId="5" fillId="0" borderId="23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45" xfId="0" applyNumberFormat="1" applyFont="1" applyFill="1" applyBorder="1" applyAlignment="1" applyProtection="1">
      <alignment horizontal="left" vertical="center"/>
      <protection/>
    </xf>
    <xf numFmtId="49" fontId="5" fillId="0" borderId="46" xfId="0" applyNumberFormat="1" applyFont="1" applyFill="1" applyBorder="1" applyAlignment="1" applyProtection="1">
      <alignment horizontal="left" vertical="center"/>
      <protection/>
    </xf>
    <xf numFmtId="0" fontId="5" fillId="0" borderId="26" xfId="0" applyNumberFormat="1" applyFont="1" applyFill="1" applyBorder="1" applyAlignment="1" applyProtection="1">
      <alignment horizontal="left" vertical="center"/>
      <protection/>
    </xf>
    <xf numFmtId="0" fontId="5" fillId="0" borderId="47" xfId="0" applyNumberFormat="1" applyFont="1" applyFill="1" applyBorder="1" applyAlignment="1" applyProtection="1">
      <alignment horizontal="left" vertical="center"/>
      <protection/>
    </xf>
    <xf numFmtId="49" fontId="4" fillId="33" borderId="48" xfId="0" applyNumberFormat="1" applyFont="1" applyFill="1" applyBorder="1" applyAlignment="1" applyProtection="1">
      <alignment horizontal="left" vertical="center"/>
      <protection/>
    </xf>
    <xf numFmtId="0" fontId="4" fillId="33" borderId="49" xfId="0" applyNumberFormat="1" applyFont="1" applyFill="1" applyBorder="1" applyAlignment="1" applyProtection="1">
      <alignment horizontal="left" vertical="center"/>
      <protection/>
    </xf>
    <xf numFmtId="49" fontId="5" fillId="0" borderId="50" xfId="0" applyNumberFormat="1" applyFont="1" applyFill="1" applyBorder="1" applyAlignment="1" applyProtection="1">
      <alignment horizontal="left" vertical="center"/>
      <protection/>
    </xf>
    <xf numFmtId="0" fontId="5" fillId="0" borderId="16" xfId="0" applyNumberFormat="1" applyFont="1" applyFill="1" applyBorder="1" applyAlignment="1" applyProtection="1">
      <alignment horizontal="left" vertical="center"/>
      <protection/>
    </xf>
    <xf numFmtId="0" fontId="5" fillId="0" borderId="51" xfId="0" applyNumberFormat="1" applyFont="1" applyFill="1" applyBorder="1" applyAlignment="1" applyProtection="1">
      <alignment horizontal="left" vertical="center"/>
      <protection/>
    </xf>
    <xf numFmtId="49" fontId="4" fillId="0" borderId="48" xfId="0" applyNumberFormat="1" applyFont="1" applyFill="1" applyBorder="1" applyAlignment="1" applyProtection="1">
      <alignment horizontal="left" vertical="center"/>
      <protection/>
    </xf>
    <xf numFmtId="0" fontId="4" fillId="0" borderId="24" xfId="0" applyNumberFormat="1" applyFont="1" applyFill="1" applyBorder="1" applyAlignment="1" applyProtection="1">
      <alignment horizontal="left" vertical="center"/>
      <protection/>
    </xf>
    <xf numFmtId="49" fontId="5" fillId="0" borderId="48" xfId="0" applyNumberFormat="1" applyFont="1" applyFill="1" applyBorder="1" applyAlignment="1" applyProtection="1">
      <alignment horizontal="left" vertical="center"/>
      <protection/>
    </xf>
    <xf numFmtId="0" fontId="5" fillId="0" borderId="24" xfId="0" applyNumberFormat="1" applyFont="1" applyFill="1" applyBorder="1" applyAlignment="1" applyProtection="1">
      <alignment horizontal="left" vertical="center"/>
      <protection/>
    </xf>
    <xf numFmtId="49" fontId="2" fillId="0" borderId="49" xfId="0" applyNumberFormat="1" applyFont="1" applyFill="1" applyBorder="1" applyAlignment="1" applyProtection="1">
      <alignment horizontal="center" vertical="center"/>
      <protection/>
    </xf>
    <xf numFmtId="0" fontId="2" fillId="0" borderId="49" xfId="0" applyNumberFormat="1" applyFont="1" applyFill="1" applyBorder="1" applyAlignment="1" applyProtection="1">
      <alignment horizontal="center" vertical="center"/>
      <protection/>
    </xf>
    <xf numFmtId="49" fontId="7" fillId="0" borderId="48" xfId="0" applyNumberFormat="1" applyFont="1" applyFill="1" applyBorder="1" applyAlignment="1" applyProtection="1">
      <alignment horizontal="left" vertical="center"/>
      <protection/>
    </xf>
    <xf numFmtId="0" fontId="7" fillId="0" borderId="24" xfId="0" applyNumberFormat="1" applyFont="1" applyFill="1" applyBorder="1" applyAlignment="1" applyProtection="1">
      <alignment horizontal="left" vertical="center"/>
      <protection/>
    </xf>
    <xf numFmtId="0" fontId="1" fillId="0" borderId="22" xfId="0" applyNumberFormat="1" applyFont="1" applyFill="1" applyBorder="1" applyAlignment="1" applyProtection="1">
      <alignment horizontal="left" vertical="center" wrapText="1"/>
      <protection/>
    </xf>
    <xf numFmtId="0" fontId="1" fillId="0" borderId="18" xfId="0" applyNumberFormat="1" applyFont="1" applyFill="1" applyBorder="1" applyAlignment="1" applyProtection="1">
      <alignment horizontal="left" vertical="center"/>
      <protection/>
    </xf>
    <xf numFmtId="0" fontId="1" fillId="0" borderId="10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21" xfId="0" applyNumberFormat="1" applyFont="1" applyFill="1" applyBorder="1" applyAlignment="1" applyProtection="1">
      <alignment horizontal="left" vertical="center" wrapText="1"/>
      <protection/>
    </xf>
    <xf numFmtId="0" fontId="1" fillId="0" borderId="32" xfId="0" applyNumberFormat="1" applyFont="1" applyFill="1" applyBorder="1" applyAlignment="1" applyProtection="1">
      <alignment horizontal="left" vertical="center"/>
      <protection/>
    </xf>
    <xf numFmtId="0" fontId="1" fillId="0" borderId="22" xfId="0" applyNumberFormat="1" applyFont="1" applyFill="1" applyBorder="1" applyAlignment="1" applyProtection="1">
      <alignment horizontal="left" vertical="center"/>
      <protection/>
    </xf>
    <xf numFmtId="49" fontId="1" fillId="0" borderId="21" xfId="0" applyNumberFormat="1" applyFont="1" applyFill="1" applyBorder="1" applyAlignment="1" applyProtection="1">
      <alignment horizontal="left" vertical="center"/>
      <protection/>
    </xf>
    <xf numFmtId="0" fontId="1" fillId="0" borderId="21" xfId="0" applyNumberFormat="1" applyFont="1" applyFill="1" applyBorder="1" applyAlignment="1" applyProtection="1">
      <alignment horizontal="left" vertical="center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52" xfId="0" applyNumberFormat="1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9" fillId="0" borderId="14" xfId="0" applyNumberFormat="1" applyFont="1" applyFill="1" applyBorder="1" applyAlignment="1" applyProtection="1">
      <alignment horizontal="left" vertical="center" wrapText="1"/>
      <protection/>
    </xf>
    <xf numFmtId="0" fontId="9" fillId="0" borderId="14" xfId="0" applyNumberFormat="1" applyFont="1" applyFill="1" applyBorder="1" applyAlignment="1" applyProtection="1">
      <alignment horizontal="left" vertical="center"/>
      <protection/>
    </xf>
    <xf numFmtId="0" fontId="9" fillId="0" borderId="0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left" vertical="center" wrapText="1"/>
      <protection/>
    </xf>
    <xf numFmtId="49" fontId="1" fillId="0" borderId="17" xfId="0" applyNumberFormat="1" applyFont="1" applyFill="1" applyBorder="1" applyAlignment="1" applyProtection="1">
      <alignment horizontal="left" vertical="center"/>
      <protection/>
    </xf>
    <xf numFmtId="49" fontId="1" fillId="0" borderId="53" xfId="0" applyNumberFormat="1" applyFont="1" applyFill="1" applyBorder="1" applyAlignment="1" applyProtection="1">
      <alignment horizontal="left" vertical="center"/>
      <protection/>
    </xf>
    <xf numFmtId="0" fontId="1" fillId="0" borderId="15" xfId="0" applyNumberFormat="1" applyFont="1" applyFill="1" applyBorder="1" applyAlignment="1" applyProtection="1">
      <alignment horizontal="left" vertical="center"/>
      <protection/>
    </xf>
    <xf numFmtId="0" fontId="1" fillId="0" borderId="54" xfId="0" applyNumberFormat="1" applyFont="1" applyFill="1" applyBorder="1" applyAlignment="1" applyProtection="1">
      <alignment horizontal="left" vertical="center"/>
      <protection/>
    </xf>
    <xf numFmtId="49" fontId="9" fillId="0" borderId="55" xfId="0" applyNumberFormat="1" applyFont="1" applyFill="1" applyBorder="1" applyAlignment="1" applyProtection="1">
      <alignment horizontal="left" vertical="center"/>
      <protection/>
    </xf>
    <xf numFmtId="0" fontId="9" fillId="0" borderId="25" xfId="0" applyNumberFormat="1" applyFont="1" applyFill="1" applyBorder="1" applyAlignment="1" applyProtection="1">
      <alignment horizontal="left" vertical="center"/>
      <protection/>
    </xf>
    <xf numFmtId="0" fontId="9" fillId="0" borderId="56" xfId="0" applyNumberFormat="1" applyFont="1" applyFill="1" applyBorder="1" applyAlignment="1" applyProtection="1">
      <alignment horizontal="left" vertical="center"/>
      <protection/>
    </xf>
    <xf numFmtId="49" fontId="4" fillId="0" borderId="55" xfId="0" applyNumberFormat="1" applyFont="1" applyFill="1" applyBorder="1" applyAlignment="1" applyProtection="1">
      <alignment horizontal="left" vertical="center"/>
      <protection/>
    </xf>
    <xf numFmtId="0" fontId="4" fillId="0" borderId="25" xfId="0" applyNumberFormat="1" applyFont="1" applyFill="1" applyBorder="1" applyAlignment="1" applyProtection="1">
      <alignment horizontal="left" vertical="center"/>
      <protection/>
    </xf>
    <xf numFmtId="0" fontId="4" fillId="0" borderId="56" xfId="0" applyNumberFormat="1" applyFont="1" applyFill="1" applyBorder="1" applyAlignment="1" applyProtection="1">
      <alignment horizontal="left" vertical="center"/>
      <protection/>
    </xf>
    <xf numFmtId="4" fontId="4" fillId="0" borderId="55" xfId="0" applyNumberFormat="1" applyFont="1" applyFill="1" applyBorder="1" applyAlignment="1" applyProtection="1">
      <alignment horizontal="right" vertical="center"/>
      <protection/>
    </xf>
    <xf numFmtId="0" fontId="4" fillId="0" borderId="25" xfId="0" applyNumberFormat="1" applyFont="1" applyFill="1" applyBorder="1" applyAlignment="1" applyProtection="1">
      <alignment horizontal="right" vertical="center"/>
      <protection/>
    </xf>
    <xf numFmtId="0" fontId="4" fillId="0" borderId="56" xfId="0" applyNumberFormat="1" applyFont="1" applyFill="1" applyBorder="1" applyAlignment="1" applyProtection="1">
      <alignment horizontal="right" vertical="center"/>
      <protection/>
    </xf>
    <xf numFmtId="49" fontId="4" fillId="0" borderId="26" xfId="0" applyNumberFormat="1" applyFont="1" applyFill="1" applyBorder="1" applyAlignment="1" applyProtection="1">
      <alignment horizontal="left" vertical="center"/>
      <protection/>
    </xf>
    <xf numFmtId="0" fontId="4" fillId="0" borderId="26" xfId="0" applyNumberFormat="1" applyFont="1" applyFill="1" applyBorder="1" applyAlignment="1" applyProtection="1">
      <alignment horizontal="left" vertical="center"/>
      <protection/>
    </xf>
    <xf numFmtId="49" fontId="9" fillId="0" borderId="57" xfId="0" applyNumberFormat="1" applyFont="1" applyFill="1" applyBorder="1" applyAlignment="1" applyProtection="1">
      <alignment horizontal="left" vertical="center"/>
      <protection/>
    </xf>
    <xf numFmtId="0" fontId="9" fillId="0" borderId="58" xfId="0" applyNumberFormat="1" applyFont="1" applyFill="1" applyBorder="1" applyAlignment="1" applyProtection="1">
      <alignment horizontal="left" vertical="center"/>
      <protection/>
    </xf>
    <xf numFmtId="0" fontId="9" fillId="0" borderId="59" xfId="0" applyNumberFormat="1" applyFont="1" applyFill="1" applyBorder="1" applyAlignment="1" applyProtection="1">
      <alignment horizontal="left" vertical="center"/>
      <protection/>
    </xf>
    <xf numFmtId="49" fontId="1" fillId="0" borderId="48" xfId="0" applyNumberFormat="1" applyFont="1" applyFill="1" applyBorder="1" applyAlignment="1" applyProtection="1">
      <alignment horizontal="left" vertical="center"/>
      <protection/>
    </xf>
    <xf numFmtId="0" fontId="1" fillId="0" borderId="49" xfId="0" applyNumberFormat="1" applyFont="1" applyFill="1" applyBorder="1" applyAlignment="1" applyProtection="1">
      <alignment horizontal="left" vertical="center"/>
      <protection/>
    </xf>
    <xf numFmtId="0" fontId="1" fillId="0" borderId="24" xfId="0" applyNumberFormat="1" applyFont="1" applyFill="1" applyBorder="1" applyAlignment="1" applyProtection="1">
      <alignment horizontal="left" vertical="center"/>
      <protection/>
    </xf>
    <xf numFmtId="49" fontId="1" fillId="0" borderId="22" xfId="0" applyNumberFormat="1" applyFont="1" applyFill="1" applyBorder="1" applyAlignment="1" applyProtection="1">
      <alignment horizontal="left" vertical="center"/>
      <protection/>
    </xf>
    <xf numFmtId="49" fontId="1" fillId="0" borderId="18" xfId="0" applyNumberFormat="1" applyFont="1" applyFill="1" applyBorder="1" applyAlignment="1" applyProtection="1">
      <alignment horizontal="left" vertical="center"/>
      <protection/>
    </xf>
    <xf numFmtId="49" fontId="9" fillId="0" borderId="14" xfId="0" applyNumberFormat="1" applyFont="1" applyFill="1" applyBorder="1" applyAlignment="1" applyProtection="1">
      <alignment horizontal="left" vertical="center"/>
      <protection/>
    </xf>
    <xf numFmtId="49" fontId="1" fillId="0" borderId="50" xfId="0" applyNumberFormat="1" applyFont="1" applyFill="1" applyBorder="1" applyAlignment="1" applyProtection="1">
      <alignment horizontal="left" vertical="center"/>
      <protection/>
    </xf>
    <xf numFmtId="0" fontId="1" fillId="0" borderId="16" xfId="0" applyNumberFormat="1" applyFont="1" applyFill="1" applyBorder="1" applyAlignment="1" applyProtection="1">
      <alignment horizontal="left" vertical="center"/>
      <protection/>
    </xf>
    <xf numFmtId="0" fontId="1" fillId="0" borderId="51" xfId="0" applyNumberFormat="1" applyFont="1" applyFill="1" applyBorder="1" applyAlignment="1" applyProtection="1">
      <alignment horizontal="left" vertical="center"/>
      <protection/>
    </xf>
    <xf numFmtId="49" fontId="9" fillId="0" borderId="57" xfId="0" applyNumberFormat="1" applyFont="1" applyFill="1" applyBorder="1" applyAlignment="1" applyProtection="1">
      <alignment horizontal="center" vertical="center"/>
      <protection/>
    </xf>
    <xf numFmtId="0" fontId="9" fillId="0" borderId="58" xfId="0" applyNumberFormat="1" applyFont="1" applyFill="1" applyBorder="1" applyAlignment="1" applyProtection="1">
      <alignment horizontal="center" vertical="center"/>
      <protection/>
    </xf>
    <xf numFmtId="0" fontId="9" fillId="0" borderId="59" xfId="0" applyNumberFormat="1" applyFont="1" applyFill="1" applyBorder="1" applyAlignment="1" applyProtection="1">
      <alignment horizontal="center" vertical="center"/>
      <protection/>
    </xf>
    <xf numFmtId="49" fontId="9" fillId="0" borderId="46" xfId="0" applyNumberFormat="1" applyFont="1" applyFill="1" applyBorder="1" applyAlignment="1" applyProtection="1">
      <alignment horizontal="left" vertical="center"/>
      <protection/>
    </xf>
    <xf numFmtId="0" fontId="9" fillId="0" borderId="26" xfId="0" applyNumberFormat="1" applyFont="1" applyFill="1" applyBorder="1" applyAlignment="1" applyProtection="1">
      <alignment horizontal="left" vertical="center"/>
      <protection/>
    </xf>
    <xf numFmtId="0" fontId="9" fillId="0" borderId="47" xfId="0" applyNumberFormat="1" applyFont="1" applyFill="1" applyBorder="1" applyAlignment="1" applyProtection="1">
      <alignment horizontal="left" vertical="center"/>
      <protection/>
    </xf>
    <xf numFmtId="49" fontId="1" fillId="0" borderId="29" xfId="0" applyNumberFormat="1" applyFont="1" applyFill="1" applyBorder="1" applyAlignment="1" applyProtection="1">
      <alignment horizontal="left" vertical="center"/>
      <protection/>
    </xf>
    <xf numFmtId="0" fontId="1" fillId="0" borderId="60" xfId="0" applyNumberFormat="1" applyFont="1" applyFill="1" applyBorder="1" applyAlignment="1" applyProtection="1">
      <alignment horizontal="left" vertical="center"/>
      <protection/>
    </xf>
    <xf numFmtId="0" fontId="1" fillId="0" borderId="26" xfId="0" applyNumberFormat="1" applyFont="1" applyFill="1" applyBorder="1" applyAlignment="1" applyProtection="1">
      <alignment horizontal="left" vertical="center"/>
      <protection/>
    </xf>
    <xf numFmtId="0" fontId="1" fillId="0" borderId="61" xfId="0" applyNumberFormat="1" applyFont="1" applyFill="1" applyBorder="1" applyAlignment="1" applyProtection="1">
      <alignment horizontal="left" vertical="center"/>
      <protection/>
    </xf>
    <xf numFmtId="49" fontId="8" fillId="0" borderId="10" xfId="0" applyNumberFormat="1" applyFont="1" applyFill="1" applyBorder="1" applyAlignment="1" applyProtection="1">
      <alignment horizontal="center"/>
      <protection/>
    </xf>
    <xf numFmtId="0" fontId="1" fillId="0" borderId="17" xfId="0" applyNumberFormat="1" applyFont="1" applyFill="1" applyBorder="1" applyAlignment="1" applyProtection="1">
      <alignment horizontal="left" vertical="center"/>
      <protection/>
    </xf>
    <xf numFmtId="49" fontId="1" fillId="0" borderId="10" xfId="0" applyNumberFormat="1" applyFont="1" applyFill="1" applyBorder="1" applyAlignment="1" applyProtection="1">
      <alignment horizontal="left" vertical="center"/>
      <protection/>
    </xf>
    <xf numFmtId="49" fontId="9" fillId="0" borderId="60" xfId="0" applyNumberFormat="1" applyFont="1" applyFill="1" applyBorder="1" applyAlignment="1" applyProtection="1">
      <alignment horizontal="left" vertical="center"/>
      <protection/>
    </xf>
    <xf numFmtId="49" fontId="1" fillId="0" borderId="16" xfId="0" applyNumberFormat="1" applyFont="1" applyFill="1" applyBorder="1" applyAlignment="1" applyProtection="1">
      <alignment horizontal="left" vertical="center"/>
      <protection/>
    </xf>
    <xf numFmtId="49" fontId="12" fillId="0" borderId="10" xfId="0" applyNumberFormat="1" applyFont="1" applyFill="1" applyBorder="1" applyAlignment="1" applyProtection="1">
      <alignment horizontal="left" vertical="center"/>
      <protection/>
    </xf>
    <xf numFmtId="0" fontId="12" fillId="0" borderId="10" xfId="0" applyNumberFormat="1" applyFont="1" applyFill="1" applyBorder="1" applyAlignment="1" applyProtection="1">
      <alignment horizontal="left" vertical="center"/>
      <protection/>
    </xf>
    <xf numFmtId="49" fontId="12" fillId="0" borderId="0" xfId="0" applyNumberFormat="1" applyFont="1" applyFill="1" applyBorder="1" applyAlignment="1" applyProtection="1">
      <alignment horizontal="left" vertical="center"/>
      <protection/>
    </xf>
    <xf numFmtId="0" fontId="12" fillId="0" borderId="0" xfId="0" applyNumberFormat="1" applyFont="1" applyFill="1" applyBorder="1" applyAlignment="1" applyProtection="1">
      <alignment horizontal="left" vertical="center"/>
      <protection/>
    </xf>
    <xf numFmtId="49" fontId="15" fillId="34" borderId="0" xfId="0" applyNumberFormat="1" applyFont="1" applyFill="1" applyBorder="1" applyAlignment="1" applyProtection="1">
      <alignment horizontal="left" vertical="center"/>
      <protection/>
    </xf>
    <xf numFmtId="0" fontId="15" fillId="34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 horizontal="left" vertical="center" wrapText="1"/>
      <protection/>
    </xf>
    <xf numFmtId="0" fontId="17" fillId="0" borderId="0" xfId="0" applyNumberFormat="1" applyFont="1" applyFill="1" applyBorder="1" applyAlignment="1" applyProtection="1">
      <alignment horizontal="left" vertical="center"/>
      <protection/>
    </xf>
    <xf numFmtId="49" fontId="13" fillId="0" borderId="0" xfId="0" applyNumberFormat="1" applyFont="1" applyFill="1" applyBorder="1" applyAlignment="1" applyProtection="1">
      <alignment horizontal="left" vertical="center"/>
      <protection/>
    </xf>
    <xf numFmtId="0" fontId="13" fillId="0" borderId="0" xfId="0" applyNumberFormat="1" applyFont="1" applyFill="1" applyBorder="1" applyAlignment="1" applyProtection="1">
      <alignment horizontal="left" vertical="center"/>
      <protection/>
    </xf>
    <xf numFmtId="49" fontId="14" fillId="35" borderId="0" xfId="0" applyNumberFormat="1" applyFont="1" applyFill="1" applyBorder="1" applyAlignment="1" applyProtection="1">
      <alignment horizontal="left" vertical="center"/>
      <protection/>
    </xf>
    <xf numFmtId="0" fontId="14" fillId="35" borderId="0" xfId="0" applyNumberFormat="1" applyFont="1" applyFill="1" applyBorder="1" applyAlignment="1" applyProtection="1">
      <alignment horizontal="left" vertical="center"/>
      <protection/>
    </xf>
    <xf numFmtId="49" fontId="12" fillId="37" borderId="62" xfId="0" applyNumberFormat="1" applyFont="1" applyFill="1" applyBorder="1" applyAlignment="1" applyProtection="1">
      <alignment horizontal="left" vertical="center"/>
      <protection/>
    </xf>
    <xf numFmtId="0" fontId="12" fillId="0" borderId="44" xfId="0" applyNumberFormat="1" applyFont="1" applyFill="1" applyBorder="1" applyAlignment="1" applyProtection="1">
      <alignment horizontal="left" vertical="center"/>
      <protection/>
    </xf>
    <xf numFmtId="49" fontId="13" fillId="37" borderId="62" xfId="0" applyNumberFormat="1" applyFont="1" applyFill="1" applyBorder="1" applyAlignment="1" applyProtection="1">
      <alignment horizontal="left" vertical="center"/>
      <protection/>
    </xf>
    <xf numFmtId="0" fontId="13" fillId="0" borderId="44" xfId="0" applyNumberFormat="1" applyFont="1" applyFill="1" applyBorder="1" applyAlignment="1" applyProtection="1">
      <alignment horizontal="left" vertical="center"/>
      <protection/>
    </xf>
    <xf numFmtId="49" fontId="15" fillId="36" borderId="63" xfId="0" applyNumberFormat="1" applyFont="1" applyFill="1" applyBorder="1" applyAlignment="1" applyProtection="1">
      <alignment horizontal="left" vertical="center"/>
      <protection/>
    </xf>
    <xf numFmtId="0" fontId="15" fillId="34" borderId="43" xfId="0" applyNumberFormat="1" applyFont="1" applyFill="1" applyBorder="1" applyAlignment="1" applyProtection="1">
      <alignment horizontal="left" vertical="center"/>
      <protection/>
    </xf>
    <xf numFmtId="49" fontId="12" fillId="37" borderId="63" xfId="0" applyNumberFormat="1" applyFont="1" applyFill="1" applyBorder="1" applyAlignment="1" applyProtection="1">
      <alignment horizontal="left" vertical="center"/>
      <protection/>
    </xf>
    <xf numFmtId="0" fontId="12" fillId="0" borderId="43" xfId="0" applyNumberFormat="1" applyFont="1" applyFill="1" applyBorder="1" applyAlignment="1" applyProtection="1">
      <alignment horizontal="left" vertical="center"/>
      <protection/>
    </xf>
    <xf numFmtId="49" fontId="13" fillId="37" borderId="63" xfId="0" applyNumberFormat="1" applyFont="1" applyFill="1" applyBorder="1" applyAlignment="1" applyProtection="1">
      <alignment horizontal="left" vertical="center"/>
      <protection/>
    </xf>
    <xf numFmtId="0" fontId="13" fillId="0" borderId="43" xfId="0" applyNumberFormat="1" applyFont="1" applyFill="1" applyBorder="1" applyAlignment="1" applyProtection="1">
      <alignment horizontal="left" vertical="center"/>
      <protection/>
    </xf>
    <xf numFmtId="49" fontId="9" fillId="0" borderId="29" xfId="0" applyNumberFormat="1" applyFont="1" applyFill="1" applyBorder="1" applyAlignment="1" applyProtection="1">
      <alignment horizontal="left" vertical="center"/>
      <protection/>
    </xf>
    <xf numFmtId="0" fontId="9" fillId="0" borderId="16" xfId="0" applyNumberFormat="1" applyFont="1" applyFill="1" applyBorder="1" applyAlignment="1" applyProtection="1">
      <alignment horizontal="left" vertical="center"/>
      <protection/>
    </xf>
    <xf numFmtId="0" fontId="9" fillId="0" borderId="20" xfId="0" applyNumberFormat="1" applyFont="1" applyFill="1" applyBorder="1" applyAlignment="1" applyProtection="1">
      <alignment horizontal="left" vertical="center"/>
      <protection/>
    </xf>
    <xf numFmtId="49" fontId="9" fillId="0" borderId="22" xfId="0" applyNumberFormat="1" applyFont="1" applyFill="1" applyBorder="1" applyAlignment="1" applyProtection="1">
      <alignment horizontal="left" vertical="center"/>
      <protection/>
    </xf>
    <xf numFmtId="0" fontId="9" fillId="0" borderId="21" xfId="0" applyNumberFormat="1" applyFont="1" applyFill="1" applyBorder="1" applyAlignment="1" applyProtection="1">
      <alignment horizontal="left" vertical="center"/>
      <protection/>
    </xf>
    <xf numFmtId="49" fontId="14" fillId="36" borderId="64" xfId="0" applyNumberFormat="1" applyFont="1" applyFill="1" applyBorder="1" applyAlignment="1" applyProtection="1">
      <alignment horizontal="left" vertical="center"/>
      <protection/>
    </xf>
    <xf numFmtId="0" fontId="14" fillId="35" borderId="16" xfId="0" applyNumberFormat="1" applyFont="1" applyFill="1" applyBorder="1" applyAlignment="1" applyProtection="1">
      <alignment horizontal="left" vertical="center"/>
      <protection/>
    </xf>
    <xf numFmtId="0" fontId="14" fillId="35" borderId="39" xfId="0" applyNumberFormat="1" applyFont="1" applyFill="1" applyBorder="1" applyAlignment="1" applyProtection="1">
      <alignment horizontal="left" vertical="center"/>
      <protection/>
    </xf>
    <xf numFmtId="49" fontId="1" fillId="0" borderId="14" xfId="0" applyNumberFormat="1" applyFont="1" applyFill="1" applyBorder="1" applyAlignment="1" applyProtection="1">
      <alignment horizontal="left" vertical="center"/>
      <protection/>
    </xf>
  </cellXfs>
  <cellStyles count="4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 [0]" xfId="35"/>
    <cellStyle name="Kontrolní buňka" xfId="36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000000"/>
      <rgbColor rgb="00000000"/>
      <rgbColor rgb="00C0C0C0"/>
      <rgbColor rgb="00C0C0C0"/>
      <rgbColor rgb="00000000"/>
      <rgbColor rgb="00000000"/>
      <rgbColor rgb="00DBDBDB"/>
      <rgbColor rgb="00000000"/>
      <rgbColor rgb="00C0C0C0"/>
      <rgbColor rgb="00000000"/>
      <rgbColor rgb="00C0C0C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9.140625" style="0" customWidth="1"/>
    <col min="2" max="2" width="12.8515625" style="0" customWidth="1"/>
    <col min="3" max="3" width="22.8515625" style="0" customWidth="1"/>
    <col min="4" max="4" width="10.00390625" style="0" customWidth="1"/>
    <col min="5" max="5" width="14.00390625" style="0" customWidth="1"/>
    <col min="6" max="6" width="22.8515625" style="0" customWidth="1"/>
    <col min="7" max="7" width="9.140625" style="0" customWidth="1"/>
    <col min="8" max="8" width="12.8515625" style="0" customWidth="1"/>
    <col min="9" max="9" width="22.8515625" style="0" customWidth="1"/>
  </cols>
  <sheetData>
    <row r="1" spans="1:9" ht="72.75" customHeight="1">
      <c r="A1" s="96"/>
      <c r="B1" s="1"/>
      <c r="C1" s="127" t="s">
        <v>22</v>
      </c>
      <c r="D1" s="128"/>
      <c r="E1" s="128"/>
      <c r="F1" s="128"/>
      <c r="G1" s="128"/>
      <c r="H1" s="128"/>
      <c r="I1" s="128"/>
    </row>
    <row r="2" spans="1:10" ht="12.75">
      <c r="A2" s="129" t="s">
        <v>0</v>
      </c>
      <c r="B2" s="130"/>
      <c r="C2" s="131" t="str">
        <f>'Stavební rozpočet'!C2</f>
        <v>Atletický stadion v Krnově - sestava kontejnerů</v>
      </c>
      <c r="D2" s="132"/>
      <c r="E2" s="134" t="s">
        <v>32</v>
      </c>
      <c r="F2" s="134" t="str">
        <f>'Stavební rozpočet'!I2</f>
        <v> </v>
      </c>
      <c r="G2" s="130"/>
      <c r="H2" s="134" t="s">
        <v>52</v>
      </c>
      <c r="I2" s="135"/>
      <c r="J2" s="18"/>
    </row>
    <row r="3" spans="1:10" ht="12.75">
      <c r="A3" s="124"/>
      <c r="B3" s="98"/>
      <c r="C3" s="133"/>
      <c r="D3" s="133"/>
      <c r="E3" s="98"/>
      <c r="F3" s="98"/>
      <c r="G3" s="98"/>
      <c r="H3" s="98"/>
      <c r="I3" s="126"/>
      <c r="J3" s="18"/>
    </row>
    <row r="4" spans="1:10" ht="12.75">
      <c r="A4" s="118" t="s">
        <v>1</v>
      </c>
      <c r="B4" s="98"/>
      <c r="C4" s="97" t="str">
        <f>'Stavební rozpočet'!C4</f>
        <v>dočasná stavba</v>
      </c>
      <c r="D4" s="98"/>
      <c r="E4" s="97" t="s">
        <v>33</v>
      </c>
      <c r="F4" s="97" t="str">
        <f>'Stavební rozpočet'!I4</f>
        <v>Ing. Karel Oubělický – OK Project</v>
      </c>
      <c r="G4" s="98"/>
      <c r="H4" s="97" t="s">
        <v>52</v>
      </c>
      <c r="I4" s="125"/>
      <c r="J4" s="18"/>
    </row>
    <row r="5" spans="1:10" ht="12.75">
      <c r="A5" s="124"/>
      <c r="B5" s="98"/>
      <c r="C5" s="98"/>
      <c r="D5" s="98"/>
      <c r="E5" s="98"/>
      <c r="F5" s="98"/>
      <c r="G5" s="98"/>
      <c r="H5" s="98"/>
      <c r="I5" s="126"/>
      <c r="J5" s="18"/>
    </row>
    <row r="6" spans="1:10" ht="12.75">
      <c r="A6" s="118" t="s">
        <v>2</v>
      </c>
      <c r="B6" s="98"/>
      <c r="C6" s="97" t="str">
        <f>'Stavební rozpočet'!C6</f>
        <v>Krnov</v>
      </c>
      <c r="D6" s="98"/>
      <c r="E6" s="97" t="s">
        <v>34</v>
      </c>
      <c r="F6" s="97" t="str">
        <f>'Stavební rozpočet'!I6</f>
        <v> </v>
      </c>
      <c r="G6" s="98"/>
      <c r="H6" s="97" t="s">
        <v>52</v>
      </c>
      <c r="I6" s="125"/>
      <c r="J6" s="18"/>
    </row>
    <row r="7" spans="1:10" ht="12.75">
      <c r="A7" s="124"/>
      <c r="B7" s="98"/>
      <c r="C7" s="98"/>
      <c r="D7" s="98"/>
      <c r="E7" s="98"/>
      <c r="F7" s="98"/>
      <c r="G7" s="98"/>
      <c r="H7" s="98"/>
      <c r="I7" s="126"/>
      <c r="J7" s="18"/>
    </row>
    <row r="8" spans="1:10" ht="12.75">
      <c r="A8" s="118" t="s">
        <v>3</v>
      </c>
      <c r="B8" s="98"/>
      <c r="C8" s="97" t="str">
        <f>'Stavební rozpočet'!F4</f>
        <v> </v>
      </c>
      <c r="D8" s="98"/>
      <c r="E8" s="97" t="s">
        <v>35</v>
      </c>
      <c r="F8" s="97" t="str">
        <f>'Stavební rozpočet'!F6</f>
        <v> </v>
      </c>
      <c r="G8" s="98"/>
      <c r="H8" s="121" t="s">
        <v>53</v>
      </c>
      <c r="I8" s="125" t="s">
        <v>56</v>
      </c>
      <c r="J8" s="18"/>
    </row>
    <row r="9" spans="1:10" ht="12.75">
      <c r="A9" s="124"/>
      <c r="B9" s="98"/>
      <c r="C9" s="98"/>
      <c r="D9" s="98"/>
      <c r="E9" s="98"/>
      <c r="F9" s="98"/>
      <c r="G9" s="98"/>
      <c r="H9" s="98"/>
      <c r="I9" s="126"/>
      <c r="J9" s="18"/>
    </row>
    <row r="10" spans="1:10" ht="12.75">
      <c r="A10" s="118" t="s">
        <v>4</v>
      </c>
      <c r="B10" s="98"/>
      <c r="C10" s="97">
        <f>'Stavební rozpočet'!C8</f>
        <v>8015</v>
      </c>
      <c r="D10" s="98"/>
      <c r="E10" s="97" t="s">
        <v>36</v>
      </c>
      <c r="F10" s="97" t="str">
        <f>'Stavební rozpočet'!I8</f>
        <v>Boris Mičánek</v>
      </c>
      <c r="G10" s="98"/>
      <c r="H10" s="121" t="s">
        <v>54</v>
      </c>
      <c r="I10" s="122" t="str">
        <f>'Stavební rozpočet'!F8</f>
        <v>04.06.2021</v>
      </c>
      <c r="J10" s="18"/>
    </row>
    <row r="11" spans="1:10" ht="12.75">
      <c r="A11" s="119"/>
      <c r="B11" s="120"/>
      <c r="C11" s="120"/>
      <c r="D11" s="120"/>
      <c r="E11" s="120"/>
      <c r="F11" s="120"/>
      <c r="G11" s="120"/>
      <c r="H11" s="120"/>
      <c r="I11" s="123"/>
      <c r="J11" s="18"/>
    </row>
    <row r="12" spans="1:9" ht="23.25" customHeight="1">
      <c r="A12" s="114" t="s">
        <v>5</v>
      </c>
      <c r="B12" s="115"/>
      <c r="C12" s="115"/>
      <c r="D12" s="115"/>
      <c r="E12" s="115"/>
      <c r="F12" s="115"/>
      <c r="G12" s="115"/>
      <c r="H12" s="115"/>
      <c r="I12" s="115"/>
    </row>
    <row r="13" spans="1:10" ht="26.25" customHeight="1">
      <c r="A13" s="2" t="s">
        <v>6</v>
      </c>
      <c r="B13" s="116" t="s">
        <v>19</v>
      </c>
      <c r="C13" s="117"/>
      <c r="D13" s="2" t="s">
        <v>23</v>
      </c>
      <c r="E13" s="116" t="s">
        <v>37</v>
      </c>
      <c r="F13" s="117"/>
      <c r="G13" s="2" t="s">
        <v>38</v>
      </c>
      <c r="H13" s="116" t="s">
        <v>55</v>
      </c>
      <c r="I13" s="117"/>
      <c r="J13" s="18"/>
    </row>
    <row r="14" spans="1:10" ht="15" customHeight="1">
      <c r="A14" s="3" t="s">
        <v>7</v>
      </c>
      <c r="B14" s="8" t="s">
        <v>20</v>
      </c>
      <c r="C14" s="12">
        <f>SUM('Stavební rozpočet'!AA12:AA111)</f>
        <v>0</v>
      </c>
      <c r="D14" s="112" t="s">
        <v>24</v>
      </c>
      <c r="E14" s="113"/>
      <c r="F14" s="12">
        <f>VORN!I15</f>
        <v>0</v>
      </c>
      <c r="G14" s="112" t="s">
        <v>39</v>
      </c>
      <c r="H14" s="113"/>
      <c r="I14" s="12">
        <f>VORN!I21</f>
        <v>0</v>
      </c>
      <c r="J14" s="18"/>
    </row>
    <row r="15" spans="1:10" ht="15" customHeight="1">
      <c r="A15" s="4"/>
      <c r="B15" s="8" t="s">
        <v>21</v>
      </c>
      <c r="C15" s="12">
        <f>SUM('Stavební rozpočet'!AB12:AB111)</f>
        <v>0</v>
      </c>
      <c r="D15" s="112" t="s">
        <v>25</v>
      </c>
      <c r="E15" s="113"/>
      <c r="F15" s="12">
        <f>VORN!I16</f>
        <v>0</v>
      </c>
      <c r="G15" s="112" t="s">
        <v>40</v>
      </c>
      <c r="H15" s="113"/>
      <c r="I15" s="12">
        <f>VORN!I22</f>
        <v>0</v>
      </c>
      <c r="J15" s="18"/>
    </row>
    <row r="16" spans="1:10" ht="15" customHeight="1">
      <c r="A16" s="3" t="s">
        <v>8</v>
      </c>
      <c r="B16" s="8" t="s">
        <v>20</v>
      </c>
      <c r="C16" s="12">
        <f>SUM('Stavební rozpočet'!AC12:AC111)</f>
        <v>0</v>
      </c>
      <c r="D16" s="112" t="s">
        <v>26</v>
      </c>
      <c r="E16" s="113"/>
      <c r="F16" s="12">
        <f>VORN!I17</f>
        <v>0</v>
      </c>
      <c r="G16" s="112" t="s">
        <v>41</v>
      </c>
      <c r="H16" s="113"/>
      <c r="I16" s="12">
        <f>VORN!I23</f>
        <v>0</v>
      </c>
      <c r="J16" s="18"/>
    </row>
    <row r="17" spans="1:10" ht="15" customHeight="1">
      <c r="A17" s="4"/>
      <c r="B17" s="8" t="s">
        <v>21</v>
      </c>
      <c r="C17" s="12">
        <f>SUM('Stavební rozpočet'!AD12:AD111)</f>
        <v>0</v>
      </c>
      <c r="D17" s="112"/>
      <c r="E17" s="113"/>
      <c r="F17" s="13"/>
      <c r="G17" s="112" t="s">
        <v>42</v>
      </c>
      <c r="H17" s="113"/>
      <c r="I17" s="12">
        <f>VORN!I24</f>
        <v>0</v>
      </c>
      <c r="J17" s="18"/>
    </row>
    <row r="18" spans="1:10" ht="15" customHeight="1">
      <c r="A18" s="3" t="s">
        <v>9</v>
      </c>
      <c r="B18" s="8" t="s">
        <v>20</v>
      </c>
      <c r="C18" s="12">
        <f>SUM('Stavební rozpočet'!AE12:AE111)</f>
        <v>0</v>
      </c>
      <c r="D18" s="112"/>
      <c r="E18" s="113"/>
      <c r="F18" s="13"/>
      <c r="G18" s="112" t="s">
        <v>43</v>
      </c>
      <c r="H18" s="113"/>
      <c r="I18" s="12">
        <f>VORN!I25</f>
        <v>0</v>
      </c>
      <c r="J18" s="18"/>
    </row>
    <row r="19" spans="1:10" ht="15" customHeight="1">
      <c r="A19" s="4"/>
      <c r="B19" s="8" t="s">
        <v>21</v>
      </c>
      <c r="C19" s="12">
        <f>SUM('Stavební rozpočet'!AF12:AF111)</f>
        <v>0</v>
      </c>
      <c r="D19" s="112"/>
      <c r="E19" s="113"/>
      <c r="F19" s="13"/>
      <c r="G19" s="112" t="s">
        <v>44</v>
      </c>
      <c r="H19" s="113"/>
      <c r="I19" s="12">
        <f>VORN!I26</f>
        <v>0</v>
      </c>
      <c r="J19" s="18"/>
    </row>
    <row r="20" spans="1:10" ht="15" customHeight="1">
      <c r="A20" s="110" t="s">
        <v>10</v>
      </c>
      <c r="B20" s="111"/>
      <c r="C20" s="12">
        <f>SUM('Stavební rozpočet'!AG12:AG111)</f>
        <v>0</v>
      </c>
      <c r="D20" s="112"/>
      <c r="E20" s="113"/>
      <c r="F20" s="13"/>
      <c r="G20" s="112"/>
      <c r="H20" s="113"/>
      <c r="I20" s="13"/>
      <c r="J20" s="18"/>
    </row>
    <row r="21" spans="1:10" ht="15" customHeight="1">
      <c r="A21" s="110" t="s">
        <v>11</v>
      </c>
      <c r="B21" s="111"/>
      <c r="C21" s="12">
        <f>SUM('Stavební rozpočet'!Y12:Y111)</f>
        <v>0</v>
      </c>
      <c r="D21" s="112"/>
      <c r="E21" s="113"/>
      <c r="F21" s="13"/>
      <c r="G21" s="112"/>
      <c r="H21" s="113"/>
      <c r="I21" s="13"/>
      <c r="J21" s="18"/>
    </row>
    <row r="22" spans="1:10" ht="16.5" customHeight="1">
      <c r="A22" s="110" t="s">
        <v>12</v>
      </c>
      <c r="B22" s="111"/>
      <c r="C22" s="12">
        <f>SUM(C14:C21)</f>
        <v>0</v>
      </c>
      <c r="D22" s="110" t="s">
        <v>27</v>
      </c>
      <c r="E22" s="111"/>
      <c r="F22" s="12">
        <f>SUM(F14:F21)</f>
        <v>0</v>
      </c>
      <c r="G22" s="110" t="s">
        <v>45</v>
      </c>
      <c r="H22" s="111"/>
      <c r="I22" s="12">
        <f>SUM(I14:I21)</f>
        <v>0</v>
      </c>
      <c r="J22" s="18"/>
    </row>
    <row r="23" spans="1:10" ht="15" customHeight="1">
      <c r="A23" s="5"/>
      <c r="B23" s="5"/>
      <c r="C23" s="10"/>
      <c r="D23" s="110" t="s">
        <v>28</v>
      </c>
      <c r="E23" s="111"/>
      <c r="F23" s="14">
        <v>0</v>
      </c>
      <c r="G23" s="110" t="s">
        <v>46</v>
      </c>
      <c r="H23" s="111"/>
      <c r="I23" s="12">
        <v>0</v>
      </c>
      <c r="J23" s="18"/>
    </row>
    <row r="24" spans="4:10" ht="15" customHeight="1">
      <c r="D24" s="5"/>
      <c r="E24" s="5"/>
      <c r="F24" s="15"/>
      <c r="G24" s="110" t="s">
        <v>47</v>
      </c>
      <c r="H24" s="111"/>
      <c r="I24" s="12">
        <f>vorn_sum</f>
        <v>0</v>
      </c>
      <c r="J24" s="18"/>
    </row>
    <row r="25" spans="6:10" ht="15" customHeight="1">
      <c r="F25" s="16"/>
      <c r="G25" s="110" t="s">
        <v>48</v>
      </c>
      <c r="H25" s="111"/>
      <c r="I25" s="12">
        <v>0</v>
      </c>
      <c r="J25" s="18"/>
    </row>
    <row r="26" spans="1:9" ht="12.75">
      <c r="A26" s="1"/>
      <c r="B26" s="1"/>
      <c r="C26" s="1"/>
      <c r="G26" s="5"/>
      <c r="H26" s="5"/>
      <c r="I26" s="5"/>
    </row>
    <row r="27" spans="1:9" ht="15" customHeight="1">
      <c r="A27" s="105" t="s">
        <v>13</v>
      </c>
      <c r="B27" s="106"/>
      <c r="C27" s="20">
        <f>SUM('Stavební rozpočet'!AI12:AI111)</f>
        <v>0</v>
      </c>
      <c r="D27" s="11"/>
      <c r="E27" s="1"/>
      <c r="F27" s="1"/>
      <c r="G27" s="1"/>
      <c r="H27" s="1"/>
      <c r="I27" s="1"/>
    </row>
    <row r="28" spans="1:10" ht="15" customHeight="1">
      <c r="A28" s="105" t="s">
        <v>14</v>
      </c>
      <c r="B28" s="106"/>
      <c r="C28" s="20">
        <f>SUM('Stavební rozpočet'!AJ12:AJ111)</f>
        <v>0</v>
      </c>
      <c r="D28" s="105" t="s">
        <v>29</v>
      </c>
      <c r="E28" s="106"/>
      <c r="F28" s="20">
        <f>ROUND(C28*(15/100),2)</f>
        <v>0</v>
      </c>
      <c r="G28" s="105" t="s">
        <v>49</v>
      </c>
      <c r="H28" s="106"/>
      <c r="I28" s="20">
        <f>SUM(C27:C29)</f>
        <v>0</v>
      </c>
      <c r="J28" s="18"/>
    </row>
    <row r="29" spans="1:10" ht="15" customHeight="1">
      <c r="A29" s="105" t="s">
        <v>15</v>
      </c>
      <c r="B29" s="106"/>
      <c r="C29" s="20">
        <f>SUM('Stavební rozpočet'!AK12:AK111)+(F22+I22+F23+I23+I24+I25)</f>
        <v>0</v>
      </c>
      <c r="D29" s="105" t="s">
        <v>30</v>
      </c>
      <c r="E29" s="106"/>
      <c r="F29" s="20">
        <f>ROUND(C29*(21/100),2)</f>
        <v>0</v>
      </c>
      <c r="G29" s="105" t="s">
        <v>50</v>
      </c>
      <c r="H29" s="106"/>
      <c r="I29" s="20">
        <f>SUM(F28:F29)+I28</f>
        <v>0</v>
      </c>
      <c r="J29" s="18"/>
    </row>
    <row r="30" spans="1:9" ht="12.75">
      <c r="A30" s="6"/>
      <c r="B30" s="6"/>
      <c r="C30" s="6"/>
      <c r="D30" s="6"/>
      <c r="E30" s="6"/>
      <c r="F30" s="6"/>
      <c r="G30" s="6"/>
      <c r="H30" s="6"/>
      <c r="I30" s="6"/>
    </row>
    <row r="31" spans="1:10" ht="14.25" customHeight="1">
      <c r="A31" s="107" t="s">
        <v>16</v>
      </c>
      <c r="B31" s="108"/>
      <c r="C31" s="109"/>
      <c r="D31" s="107" t="s">
        <v>31</v>
      </c>
      <c r="E31" s="108"/>
      <c r="F31" s="109"/>
      <c r="G31" s="107" t="s">
        <v>51</v>
      </c>
      <c r="H31" s="108"/>
      <c r="I31" s="109"/>
      <c r="J31" s="19"/>
    </row>
    <row r="32" spans="1:10" ht="14.25" customHeight="1">
      <c r="A32" s="99"/>
      <c r="B32" s="100"/>
      <c r="C32" s="101"/>
      <c r="D32" s="99"/>
      <c r="E32" s="100"/>
      <c r="F32" s="101"/>
      <c r="G32" s="99"/>
      <c r="H32" s="100"/>
      <c r="I32" s="101"/>
      <c r="J32" s="19"/>
    </row>
    <row r="33" spans="1:10" ht="14.25" customHeight="1">
      <c r="A33" s="99"/>
      <c r="B33" s="100"/>
      <c r="C33" s="101"/>
      <c r="D33" s="99"/>
      <c r="E33" s="100"/>
      <c r="F33" s="101"/>
      <c r="G33" s="99"/>
      <c r="H33" s="100"/>
      <c r="I33" s="101"/>
      <c r="J33" s="19"/>
    </row>
    <row r="34" spans="1:10" ht="14.25" customHeight="1">
      <c r="A34" s="99"/>
      <c r="B34" s="100"/>
      <c r="C34" s="101"/>
      <c r="D34" s="99"/>
      <c r="E34" s="100"/>
      <c r="F34" s="101"/>
      <c r="G34" s="99"/>
      <c r="H34" s="100"/>
      <c r="I34" s="101"/>
      <c r="J34" s="19"/>
    </row>
    <row r="35" spans="1:10" ht="14.25" customHeight="1">
      <c r="A35" s="102" t="s">
        <v>17</v>
      </c>
      <c r="B35" s="103"/>
      <c r="C35" s="104"/>
      <c r="D35" s="102" t="s">
        <v>17</v>
      </c>
      <c r="E35" s="103"/>
      <c r="F35" s="104"/>
      <c r="G35" s="102" t="s">
        <v>17</v>
      </c>
      <c r="H35" s="103"/>
      <c r="I35" s="104"/>
      <c r="J35" s="19"/>
    </row>
    <row r="36" spans="1:9" ht="11.25" customHeight="1">
      <c r="A36" s="7" t="s">
        <v>18</v>
      </c>
      <c r="B36" s="9"/>
      <c r="C36" s="9"/>
      <c r="D36" s="9"/>
      <c r="E36" s="9"/>
      <c r="F36" s="9"/>
      <c r="G36" s="9"/>
      <c r="H36" s="9"/>
      <c r="I36" s="9"/>
    </row>
    <row r="37" spans="1:9" ht="12.75">
      <c r="A37" s="97"/>
      <c r="B37" s="98"/>
      <c r="C37" s="98"/>
      <c r="D37" s="98"/>
      <c r="E37" s="98"/>
      <c r="F37" s="98"/>
      <c r="G37" s="98"/>
      <c r="H37" s="98"/>
      <c r="I37" s="98"/>
    </row>
  </sheetData>
  <sheetProtection/>
  <mergeCells count="83">
    <mergeCell ref="C1:I1"/>
    <mergeCell ref="A2:B3"/>
    <mergeCell ref="C2:D3"/>
    <mergeCell ref="E2:E3"/>
    <mergeCell ref="F2:G3"/>
    <mergeCell ref="H2:H3"/>
    <mergeCell ref="I2:I3"/>
    <mergeCell ref="A4:B5"/>
    <mergeCell ref="C4:D5"/>
    <mergeCell ref="E4:E5"/>
    <mergeCell ref="F4:G5"/>
    <mergeCell ref="H4:H5"/>
    <mergeCell ref="I4:I5"/>
    <mergeCell ref="A6:B7"/>
    <mergeCell ref="C6:D7"/>
    <mergeCell ref="E6:E7"/>
    <mergeCell ref="F6:G7"/>
    <mergeCell ref="H6:H7"/>
    <mergeCell ref="I6:I7"/>
    <mergeCell ref="A8:B9"/>
    <mergeCell ref="C8:D9"/>
    <mergeCell ref="E8:E9"/>
    <mergeCell ref="F8:G9"/>
    <mergeCell ref="H8:H9"/>
    <mergeCell ref="I8:I9"/>
    <mergeCell ref="A10:B11"/>
    <mergeCell ref="C10:D11"/>
    <mergeCell ref="E10:E11"/>
    <mergeCell ref="F10:G11"/>
    <mergeCell ref="H10:H11"/>
    <mergeCell ref="I10:I11"/>
    <mergeCell ref="A12:I12"/>
    <mergeCell ref="B13:C13"/>
    <mergeCell ref="E13:F13"/>
    <mergeCell ref="H13:I13"/>
    <mergeCell ref="D14:E14"/>
    <mergeCell ref="G14:H14"/>
    <mergeCell ref="D15:E15"/>
    <mergeCell ref="G15:H15"/>
    <mergeCell ref="D16:E16"/>
    <mergeCell ref="G16:H16"/>
    <mergeCell ref="D17:E17"/>
    <mergeCell ref="G17:H17"/>
    <mergeCell ref="D18:E18"/>
    <mergeCell ref="G18:H18"/>
    <mergeCell ref="D19:E19"/>
    <mergeCell ref="G19:H19"/>
    <mergeCell ref="A20:B20"/>
    <mergeCell ref="D20:E20"/>
    <mergeCell ref="G20:H20"/>
    <mergeCell ref="A21:B21"/>
    <mergeCell ref="D21:E21"/>
    <mergeCell ref="G21:H21"/>
    <mergeCell ref="A22:B22"/>
    <mergeCell ref="D22:E22"/>
    <mergeCell ref="G22:H22"/>
    <mergeCell ref="D23:E23"/>
    <mergeCell ref="G23:H23"/>
    <mergeCell ref="G24:H24"/>
    <mergeCell ref="G25:H25"/>
    <mergeCell ref="A27:B27"/>
    <mergeCell ref="A28:B28"/>
    <mergeCell ref="D28:E28"/>
    <mergeCell ref="G28:H28"/>
    <mergeCell ref="A29:B29"/>
    <mergeCell ref="D29:E29"/>
    <mergeCell ref="G29:H29"/>
    <mergeCell ref="A31:C31"/>
    <mergeCell ref="D31:F31"/>
    <mergeCell ref="G31:I31"/>
    <mergeCell ref="A32:C32"/>
    <mergeCell ref="D32:F32"/>
    <mergeCell ref="G32:I32"/>
    <mergeCell ref="A33:C33"/>
    <mergeCell ref="D33:F33"/>
    <mergeCell ref="G33:I33"/>
    <mergeCell ref="A37:I37"/>
    <mergeCell ref="A34:C34"/>
    <mergeCell ref="D34:F34"/>
    <mergeCell ref="G34:I34"/>
    <mergeCell ref="A35:C35"/>
    <mergeCell ref="D35:F35"/>
    <mergeCell ref="G35:I35"/>
  </mergeCells>
  <printOptions horizontalCentered="1"/>
  <pageMargins left="1.1811023622047245" right="0.3937007874015748" top="0.5905511811023623" bottom="0.5905511811023623" header="0.5118110236220472" footer="0.5118110236220472"/>
  <pageSetup fitToHeight="1" fitToWidth="1" horizontalDpi="600" verticalDpi="600" orientation="landscape" paperSize="9" scale="8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zoomScalePageLayoutView="0" workbookViewId="0" topLeftCell="A1">
      <selection activeCell="B1" sqref="B1"/>
    </sheetView>
  </sheetViews>
  <sheetFormatPr defaultColWidth="11.57421875" defaultRowHeight="12.75"/>
  <cols>
    <col min="1" max="1" width="9.140625" style="0" customWidth="1"/>
    <col min="2" max="2" width="12.8515625" style="0" customWidth="1"/>
    <col min="3" max="3" width="22.8515625" style="0" customWidth="1"/>
    <col min="4" max="4" width="10.00390625" style="0" customWidth="1"/>
    <col min="5" max="5" width="14.00390625" style="0" customWidth="1"/>
    <col min="6" max="6" width="22.8515625" style="0" customWidth="1"/>
    <col min="7" max="7" width="9.140625" style="0" customWidth="1"/>
    <col min="8" max="8" width="17.140625" style="0" customWidth="1"/>
    <col min="9" max="9" width="22.8515625" style="0" customWidth="1"/>
  </cols>
  <sheetData>
    <row r="1" spans="1:9" ht="72.75" customHeight="1">
      <c r="A1" s="96"/>
      <c r="B1" s="1"/>
      <c r="C1" s="127" t="s">
        <v>65</v>
      </c>
      <c r="D1" s="128"/>
      <c r="E1" s="128"/>
      <c r="F1" s="128"/>
      <c r="G1" s="128"/>
      <c r="H1" s="128"/>
      <c r="I1" s="128"/>
    </row>
    <row r="2" spans="1:10" ht="12.75">
      <c r="A2" s="129" t="s">
        <v>0</v>
      </c>
      <c r="B2" s="130"/>
      <c r="C2" s="131" t="str">
        <f>'Stavební rozpočet'!C2</f>
        <v>Atletický stadion v Krnově - sestava kontejnerů</v>
      </c>
      <c r="D2" s="132"/>
      <c r="E2" s="134" t="s">
        <v>32</v>
      </c>
      <c r="F2" s="134" t="str">
        <f>'Stavební rozpočet'!I2</f>
        <v> </v>
      </c>
      <c r="G2" s="130"/>
      <c r="H2" s="134" t="s">
        <v>52</v>
      </c>
      <c r="I2" s="135"/>
      <c r="J2" s="18"/>
    </row>
    <row r="3" spans="1:10" ht="12.75">
      <c r="A3" s="124"/>
      <c r="B3" s="98"/>
      <c r="C3" s="133"/>
      <c r="D3" s="133"/>
      <c r="E3" s="98"/>
      <c r="F3" s="98"/>
      <c r="G3" s="98"/>
      <c r="H3" s="98"/>
      <c r="I3" s="126"/>
      <c r="J3" s="18"/>
    </row>
    <row r="4" spans="1:10" ht="12.75">
      <c r="A4" s="118" t="s">
        <v>1</v>
      </c>
      <c r="B4" s="98"/>
      <c r="C4" s="97" t="str">
        <f>'Stavební rozpočet'!C4</f>
        <v>dočasná stavba</v>
      </c>
      <c r="D4" s="98"/>
      <c r="E4" s="97" t="s">
        <v>33</v>
      </c>
      <c r="F4" s="97" t="str">
        <f>'Stavební rozpočet'!I4</f>
        <v>Ing. Karel Oubělický – OK Project</v>
      </c>
      <c r="G4" s="98"/>
      <c r="H4" s="97" t="s">
        <v>52</v>
      </c>
      <c r="I4" s="125"/>
      <c r="J4" s="18"/>
    </row>
    <row r="5" spans="1:10" ht="12.75">
      <c r="A5" s="124"/>
      <c r="B5" s="98"/>
      <c r="C5" s="98"/>
      <c r="D5" s="98"/>
      <c r="E5" s="98"/>
      <c r="F5" s="98"/>
      <c r="G5" s="98"/>
      <c r="H5" s="98"/>
      <c r="I5" s="126"/>
      <c r="J5" s="18"/>
    </row>
    <row r="6" spans="1:10" ht="12.75">
      <c r="A6" s="118" t="s">
        <v>2</v>
      </c>
      <c r="B6" s="98"/>
      <c r="C6" s="97" t="str">
        <f>'Stavební rozpočet'!C6</f>
        <v>Krnov</v>
      </c>
      <c r="D6" s="98"/>
      <c r="E6" s="97" t="s">
        <v>34</v>
      </c>
      <c r="F6" s="97" t="str">
        <f>'Stavební rozpočet'!I6</f>
        <v> </v>
      </c>
      <c r="G6" s="98"/>
      <c r="H6" s="97" t="s">
        <v>52</v>
      </c>
      <c r="I6" s="125"/>
      <c r="J6" s="18"/>
    </row>
    <row r="7" spans="1:10" ht="12.75">
      <c r="A7" s="124"/>
      <c r="B7" s="98"/>
      <c r="C7" s="98"/>
      <c r="D7" s="98"/>
      <c r="E7" s="98"/>
      <c r="F7" s="98"/>
      <c r="G7" s="98"/>
      <c r="H7" s="98"/>
      <c r="I7" s="126"/>
      <c r="J7" s="18"/>
    </row>
    <row r="8" spans="1:10" ht="12.75">
      <c r="A8" s="118" t="s">
        <v>3</v>
      </c>
      <c r="B8" s="98"/>
      <c r="C8" s="97" t="str">
        <f>'Stavební rozpočet'!F4</f>
        <v> </v>
      </c>
      <c r="D8" s="98"/>
      <c r="E8" s="97" t="s">
        <v>35</v>
      </c>
      <c r="F8" s="97" t="str">
        <f>'Stavební rozpočet'!F6</f>
        <v> </v>
      </c>
      <c r="G8" s="98"/>
      <c r="H8" s="121" t="s">
        <v>53</v>
      </c>
      <c r="I8" s="125" t="s">
        <v>56</v>
      </c>
      <c r="J8" s="18"/>
    </row>
    <row r="9" spans="1:10" ht="12.75">
      <c r="A9" s="124"/>
      <c r="B9" s="98"/>
      <c r="C9" s="98"/>
      <c r="D9" s="98"/>
      <c r="E9" s="98"/>
      <c r="F9" s="98"/>
      <c r="G9" s="98"/>
      <c r="H9" s="98"/>
      <c r="I9" s="126"/>
      <c r="J9" s="18"/>
    </row>
    <row r="10" spans="1:10" ht="12.75">
      <c r="A10" s="118" t="s">
        <v>4</v>
      </c>
      <c r="B10" s="98"/>
      <c r="C10" s="97">
        <f>'Stavební rozpočet'!C8</f>
        <v>8015</v>
      </c>
      <c r="D10" s="98"/>
      <c r="E10" s="97" t="s">
        <v>36</v>
      </c>
      <c r="F10" s="97" t="str">
        <f>'Stavební rozpočet'!I8</f>
        <v>Boris Mičánek</v>
      </c>
      <c r="G10" s="98"/>
      <c r="H10" s="121" t="s">
        <v>54</v>
      </c>
      <c r="I10" s="122" t="str">
        <f>'Stavební rozpočet'!F8</f>
        <v>04.06.2021</v>
      </c>
      <c r="J10" s="18"/>
    </row>
    <row r="11" spans="1:10" ht="12.75">
      <c r="A11" s="119"/>
      <c r="B11" s="120"/>
      <c r="C11" s="120"/>
      <c r="D11" s="120"/>
      <c r="E11" s="120"/>
      <c r="F11" s="120"/>
      <c r="G11" s="120"/>
      <c r="H11" s="120"/>
      <c r="I11" s="123"/>
      <c r="J11" s="18"/>
    </row>
    <row r="12" spans="1:9" ht="12.75">
      <c r="A12" s="5"/>
      <c r="B12" s="5"/>
      <c r="C12" s="5"/>
      <c r="D12" s="5"/>
      <c r="E12" s="5"/>
      <c r="F12" s="5"/>
      <c r="G12" s="5"/>
      <c r="H12" s="5"/>
      <c r="I12" s="5"/>
    </row>
    <row r="13" spans="1:9" ht="15" customHeight="1">
      <c r="A13" s="148" t="s">
        <v>57</v>
      </c>
      <c r="B13" s="149"/>
      <c r="C13" s="149"/>
      <c r="D13" s="149"/>
      <c r="E13" s="149"/>
      <c r="F13" s="22"/>
      <c r="G13" s="22"/>
      <c r="H13" s="22"/>
      <c r="I13" s="22"/>
    </row>
    <row r="14" spans="1:10" ht="12.75">
      <c r="A14" s="150" t="s">
        <v>58</v>
      </c>
      <c r="B14" s="151"/>
      <c r="C14" s="151"/>
      <c r="D14" s="151"/>
      <c r="E14" s="152"/>
      <c r="F14" s="23" t="s">
        <v>66</v>
      </c>
      <c r="G14" s="23" t="s">
        <v>67</v>
      </c>
      <c r="H14" s="23" t="s">
        <v>68</v>
      </c>
      <c r="I14" s="23" t="s">
        <v>66</v>
      </c>
      <c r="J14" s="19"/>
    </row>
    <row r="15" spans="1:10" ht="12.75">
      <c r="A15" s="153" t="s">
        <v>24</v>
      </c>
      <c r="B15" s="154"/>
      <c r="C15" s="154"/>
      <c r="D15" s="154"/>
      <c r="E15" s="155"/>
      <c r="F15" s="24">
        <v>0</v>
      </c>
      <c r="G15" s="27"/>
      <c r="H15" s="27"/>
      <c r="I15" s="24">
        <f>F15</f>
        <v>0</v>
      </c>
      <c r="J15" s="18"/>
    </row>
    <row r="16" spans="1:10" ht="12.75">
      <c r="A16" s="153" t="s">
        <v>25</v>
      </c>
      <c r="B16" s="154"/>
      <c r="C16" s="154"/>
      <c r="D16" s="154"/>
      <c r="E16" s="155"/>
      <c r="F16" s="24">
        <v>0</v>
      </c>
      <c r="G16" s="27"/>
      <c r="H16" s="27"/>
      <c r="I16" s="24">
        <f>F16</f>
        <v>0</v>
      </c>
      <c r="J16" s="18"/>
    </row>
    <row r="17" spans="1:10" ht="12.75">
      <c r="A17" s="136" t="s">
        <v>26</v>
      </c>
      <c r="B17" s="137"/>
      <c r="C17" s="137"/>
      <c r="D17" s="137"/>
      <c r="E17" s="138"/>
      <c r="F17" s="25">
        <v>0</v>
      </c>
      <c r="G17" s="28"/>
      <c r="H17" s="28"/>
      <c r="I17" s="25">
        <f>F17</f>
        <v>0</v>
      </c>
      <c r="J17" s="18"/>
    </row>
    <row r="18" spans="1:10" ht="12.75">
      <c r="A18" s="139" t="s">
        <v>59</v>
      </c>
      <c r="B18" s="140"/>
      <c r="C18" s="140"/>
      <c r="D18" s="140"/>
      <c r="E18" s="141"/>
      <c r="F18" s="26"/>
      <c r="G18" s="29"/>
      <c r="H18" s="29"/>
      <c r="I18" s="30">
        <f>SUM(I15:I17)</f>
        <v>0</v>
      </c>
      <c r="J18" s="19"/>
    </row>
    <row r="19" spans="1:9" ht="12.75">
      <c r="A19" s="21"/>
      <c r="B19" s="21"/>
      <c r="C19" s="21"/>
      <c r="D19" s="21"/>
      <c r="E19" s="21"/>
      <c r="F19" s="21"/>
      <c r="G19" s="21"/>
      <c r="H19" s="21"/>
      <c r="I19" s="21"/>
    </row>
    <row r="20" spans="1:10" ht="12.75">
      <c r="A20" s="150" t="s">
        <v>55</v>
      </c>
      <c r="B20" s="151"/>
      <c r="C20" s="151"/>
      <c r="D20" s="151"/>
      <c r="E20" s="152"/>
      <c r="F20" s="23" t="s">
        <v>66</v>
      </c>
      <c r="G20" s="23" t="s">
        <v>67</v>
      </c>
      <c r="H20" s="23" t="s">
        <v>68</v>
      </c>
      <c r="I20" s="23" t="s">
        <v>66</v>
      </c>
      <c r="J20" s="19"/>
    </row>
    <row r="21" spans="1:10" ht="12.75">
      <c r="A21" s="153" t="s">
        <v>39</v>
      </c>
      <c r="B21" s="154"/>
      <c r="C21" s="154"/>
      <c r="D21" s="154"/>
      <c r="E21" s="155"/>
      <c r="F21" s="27"/>
      <c r="G21" s="24">
        <v>0</v>
      </c>
      <c r="H21" s="24">
        <f>'Krycí list rozpočtu'!C22</f>
        <v>0</v>
      </c>
      <c r="I21" s="24">
        <f>ROUND((G21/100)*H21,2)</f>
        <v>0</v>
      </c>
      <c r="J21" s="18"/>
    </row>
    <row r="22" spans="1:10" ht="12.75">
      <c r="A22" s="153" t="s">
        <v>40</v>
      </c>
      <c r="B22" s="154"/>
      <c r="C22" s="154"/>
      <c r="D22" s="154"/>
      <c r="E22" s="155"/>
      <c r="F22" s="24">
        <v>0</v>
      </c>
      <c r="G22" s="27"/>
      <c r="H22" s="27"/>
      <c r="I22" s="24">
        <f>F22</f>
        <v>0</v>
      </c>
      <c r="J22" s="18"/>
    </row>
    <row r="23" spans="1:10" ht="12.75">
      <c r="A23" s="153" t="s">
        <v>41</v>
      </c>
      <c r="B23" s="154"/>
      <c r="C23" s="154"/>
      <c r="D23" s="154"/>
      <c r="E23" s="155"/>
      <c r="F23" s="24">
        <v>0</v>
      </c>
      <c r="G23" s="27"/>
      <c r="H23" s="27"/>
      <c r="I23" s="24">
        <f>F23</f>
        <v>0</v>
      </c>
      <c r="J23" s="18"/>
    </row>
    <row r="24" spans="1:10" ht="12.75">
      <c r="A24" s="153" t="s">
        <v>42</v>
      </c>
      <c r="B24" s="154"/>
      <c r="C24" s="154"/>
      <c r="D24" s="154"/>
      <c r="E24" s="155"/>
      <c r="F24" s="24">
        <v>0</v>
      </c>
      <c r="G24" s="27"/>
      <c r="H24" s="27"/>
      <c r="I24" s="24">
        <f>F24</f>
        <v>0</v>
      </c>
      <c r="J24" s="18"/>
    </row>
    <row r="25" spans="1:10" ht="12.75">
      <c r="A25" s="153" t="s">
        <v>43</v>
      </c>
      <c r="B25" s="154"/>
      <c r="C25" s="154"/>
      <c r="D25" s="154"/>
      <c r="E25" s="155"/>
      <c r="F25" s="24">
        <v>0</v>
      </c>
      <c r="G25" s="27"/>
      <c r="H25" s="27"/>
      <c r="I25" s="24">
        <f>F25</f>
        <v>0</v>
      </c>
      <c r="J25" s="18"/>
    </row>
    <row r="26" spans="1:10" ht="12.75">
      <c r="A26" s="136" t="s">
        <v>44</v>
      </c>
      <c r="B26" s="137"/>
      <c r="C26" s="137"/>
      <c r="D26" s="137"/>
      <c r="E26" s="138"/>
      <c r="F26" s="25">
        <v>0</v>
      </c>
      <c r="G26" s="28"/>
      <c r="H26" s="28"/>
      <c r="I26" s="25">
        <f>F26</f>
        <v>0</v>
      </c>
      <c r="J26" s="18"/>
    </row>
    <row r="27" spans="1:10" ht="12.75">
      <c r="A27" s="139" t="s">
        <v>60</v>
      </c>
      <c r="B27" s="140"/>
      <c r="C27" s="140"/>
      <c r="D27" s="140"/>
      <c r="E27" s="141"/>
      <c r="F27" s="26"/>
      <c r="G27" s="29"/>
      <c r="H27" s="29"/>
      <c r="I27" s="30">
        <f>SUM(I21:I26)</f>
        <v>0</v>
      </c>
      <c r="J27" s="19"/>
    </row>
    <row r="28" spans="1:9" ht="12.75">
      <c r="A28" s="21"/>
      <c r="B28" s="21"/>
      <c r="C28" s="21"/>
      <c r="D28" s="21"/>
      <c r="E28" s="21"/>
      <c r="F28" s="21"/>
      <c r="G28" s="21"/>
      <c r="H28" s="21"/>
      <c r="I28" s="21"/>
    </row>
    <row r="29" spans="1:10" ht="15" customHeight="1">
      <c r="A29" s="142" t="s">
        <v>61</v>
      </c>
      <c r="B29" s="143"/>
      <c r="C29" s="143"/>
      <c r="D29" s="143"/>
      <c r="E29" s="144"/>
      <c r="F29" s="145">
        <f>I18+I27</f>
        <v>0</v>
      </c>
      <c r="G29" s="146"/>
      <c r="H29" s="146"/>
      <c r="I29" s="147"/>
      <c r="J29" s="19"/>
    </row>
    <row r="30" spans="1:9" ht="12.75">
      <c r="A30" s="9"/>
      <c r="B30" s="9"/>
      <c r="C30" s="9"/>
      <c r="D30" s="9"/>
      <c r="E30" s="9"/>
      <c r="F30" s="9"/>
      <c r="G30" s="9"/>
      <c r="H30" s="9"/>
      <c r="I30" s="9"/>
    </row>
    <row r="33" spans="1:9" ht="15" customHeight="1">
      <c r="A33" s="148" t="s">
        <v>62</v>
      </c>
      <c r="B33" s="149"/>
      <c r="C33" s="149"/>
      <c r="D33" s="149"/>
      <c r="E33" s="149"/>
      <c r="F33" s="22"/>
      <c r="G33" s="22"/>
      <c r="H33" s="22"/>
      <c r="I33" s="22"/>
    </row>
    <row r="34" spans="1:10" ht="12.75">
      <c r="A34" s="150" t="s">
        <v>63</v>
      </c>
      <c r="B34" s="151"/>
      <c r="C34" s="151"/>
      <c r="D34" s="151"/>
      <c r="E34" s="152"/>
      <c r="F34" s="23" t="s">
        <v>66</v>
      </c>
      <c r="G34" s="23" t="s">
        <v>67</v>
      </c>
      <c r="H34" s="23" t="s">
        <v>68</v>
      </c>
      <c r="I34" s="23" t="s">
        <v>66</v>
      </c>
      <c r="J34" s="19"/>
    </row>
    <row r="35" spans="1:10" ht="12.75">
      <c r="A35" s="136"/>
      <c r="B35" s="137"/>
      <c r="C35" s="137"/>
      <c r="D35" s="137"/>
      <c r="E35" s="138"/>
      <c r="F35" s="25">
        <v>0</v>
      </c>
      <c r="G35" s="28"/>
      <c r="H35" s="28"/>
      <c r="I35" s="25">
        <f>F35</f>
        <v>0</v>
      </c>
      <c r="J35" s="18"/>
    </row>
    <row r="36" spans="1:10" ht="12.75">
      <c r="A36" s="139" t="s">
        <v>64</v>
      </c>
      <c r="B36" s="140"/>
      <c r="C36" s="140"/>
      <c r="D36" s="140"/>
      <c r="E36" s="141"/>
      <c r="F36" s="26"/>
      <c r="G36" s="29"/>
      <c r="H36" s="29"/>
      <c r="I36" s="30">
        <f>SUM(I35:I35)</f>
        <v>0</v>
      </c>
      <c r="J36" s="19"/>
    </row>
    <row r="37" spans="1:9" ht="12.75">
      <c r="A37" s="9"/>
      <c r="B37" s="9"/>
      <c r="C37" s="9"/>
      <c r="D37" s="9"/>
      <c r="E37" s="9"/>
      <c r="F37" s="9"/>
      <c r="G37" s="9"/>
      <c r="H37" s="9"/>
      <c r="I37" s="9"/>
    </row>
  </sheetData>
  <sheetProtection/>
  <mergeCells count="51">
    <mergeCell ref="C1:I1"/>
    <mergeCell ref="A2:B3"/>
    <mergeCell ref="C2:D3"/>
    <mergeCell ref="E2:E3"/>
    <mergeCell ref="F2:G3"/>
    <mergeCell ref="H2:H3"/>
    <mergeCell ref="I2:I3"/>
    <mergeCell ref="A4:B5"/>
    <mergeCell ref="C4:D5"/>
    <mergeCell ref="E4:E5"/>
    <mergeCell ref="F4:G5"/>
    <mergeCell ref="H4:H5"/>
    <mergeCell ref="I4:I5"/>
    <mergeCell ref="A6:B7"/>
    <mergeCell ref="C6:D7"/>
    <mergeCell ref="E6:E7"/>
    <mergeCell ref="F6:G7"/>
    <mergeCell ref="H6:H7"/>
    <mergeCell ref="I6:I7"/>
    <mergeCell ref="A8:B9"/>
    <mergeCell ref="C8:D9"/>
    <mergeCell ref="E8:E9"/>
    <mergeCell ref="F8:G9"/>
    <mergeCell ref="H8:H9"/>
    <mergeCell ref="I8:I9"/>
    <mergeCell ref="A10:B11"/>
    <mergeCell ref="C10:D11"/>
    <mergeCell ref="E10:E11"/>
    <mergeCell ref="F10:G11"/>
    <mergeCell ref="H10:H11"/>
    <mergeCell ref="I10:I11"/>
    <mergeCell ref="A13:E13"/>
    <mergeCell ref="A14:E14"/>
    <mergeCell ref="A15:E15"/>
    <mergeCell ref="A16:E16"/>
    <mergeCell ref="A17:E17"/>
    <mergeCell ref="A18:E18"/>
    <mergeCell ref="A20:E20"/>
    <mergeCell ref="A21:E21"/>
    <mergeCell ref="A22:E22"/>
    <mergeCell ref="A23:E23"/>
    <mergeCell ref="A24:E24"/>
    <mergeCell ref="A25:E25"/>
    <mergeCell ref="A35:E35"/>
    <mergeCell ref="A36:E36"/>
    <mergeCell ref="A26:E26"/>
    <mergeCell ref="A27:E27"/>
    <mergeCell ref="A29:E29"/>
    <mergeCell ref="F29:I29"/>
    <mergeCell ref="A33:E33"/>
    <mergeCell ref="A34:E34"/>
  </mergeCells>
  <printOptions horizontalCentered="1"/>
  <pageMargins left="1.1811023622047245" right="0.3937007874015748" top="0.5905511811023623" bottom="0.5905511811023623" header="0.5118110236220472" footer="0.5118110236220472"/>
  <pageSetup fitToHeight="0" fitToWidth="1" horizontalDpi="600" verticalDpi="600" orientation="landscape" paperSize="9" scale="8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9"/>
  <sheetViews>
    <sheetView zoomScalePageLayoutView="0" workbookViewId="0" topLeftCell="A1">
      <pane ySplit="11" topLeftCell="A12" activePane="bottomLeft" state="frozen"/>
      <selection pane="topLeft" activeCell="A1" sqref="A1"/>
      <selection pane="bottomLeft" activeCell="A1" sqref="A1:L1"/>
    </sheetView>
  </sheetViews>
  <sheetFormatPr defaultColWidth="11.57421875" defaultRowHeight="12.75"/>
  <cols>
    <col min="1" max="9" width="15.7109375" style="0" customWidth="1"/>
    <col min="10" max="12" width="14.28125" style="0" customWidth="1"/>
    <col min="13" max="16" width="12.140625" style="0" hidden="1" customWidth="1"/>
  </cols>
  <sheetData>
    <row r="1" spans="1:12" ht="72.75" customHeight="1">
      <c r="A1" s="172" t="s">
        <v>69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</row>
    <row r="2" spans="1:13" ht="12.75">
      <c r="A2" s="129" t="s">
        <v>0</v>
      </c>
      <c r="B2" s="130"/>
      <c r="C2" s="130"/>
      <c r="D2" s="131" t="str">
        <f>'Stavební rozpočet'!C2</f>
        <v>Atletický stadion v Krnově - sestava kontejnerů</v>
      </c>
      <c r="E2" s="132"/>
      <c r="F2" s="132"/>
      <c r="G2" s="134" t="s">
        <v>77</v>
      </c>
      <c r="H2" s="134" t="str">
        <f>'Stavební rozpočet'!F2</f>
        <v> </v>
      </c>
      <c r="I2" s="134" t="s">
        <v>32</v>
      </c>
      <c r="J2" s="134" t="str">
        <f>'Stavební rozpočet'!I2</f>
        <v> </v>
      </c>
      <c r="K2" s="130"/>
      <c r="L2" s="173"/>
      <c r="M2" s="18"/>
    </row>
    <row r="3" spans="1:13" ht="51" customHeight="1">
      <c r="A3" s="124"/>
      <c r="B3" s="98"/>
      <c r="C3" s="98"/>
      <c r="D3" s="133"/>
      <c r="E3" s="133"/>
      <c r="F3" s="133"/>
      <c r="G3" s="98"/>
      <c r="H3" s="98"/>
      <c r="I3" s="98"/>
      <c r="J3" s="98"/>
      <c r="K3" s="98"/>
      <c r="L3" s="126"/>
      <c r="M3" s="18"/>
    </row>
    <row r="4" spans="1:13" ht="12.75">
      <c r="A4" s="118" t="s">
        <v>1</v>
      </c>
      <c r="B4" s="98"/>
      <c r="C4" s="98"/>
      <c r="D4" s="97" t="str">
        <f>'Stavební rozpočet'!C4</f>
        <v>dočasná stavba</v>
      </c>
      <c r="E4" s="98"/>
      <c r="F4" s="98"/>
      <c r="G4" s="97" t="s">
        <v>3</v>
      </c>
      <c r="H4" s="97" t="str">
        <f>'Stavební rozpočet'!F4</f>
        <v> </v>
      </c>
      <c r="I4" s="97" t="s">
        <v>33</v>
      </c>
      <c r="J4" s="97" t="str">
        <f>'Stavební rozpočet'!I4</f>
        <v>Ing. Karel Oubělický – OK Project</v>
      </c>
      <c r="K4" s="98"/>
      <c r="L4" s="126"/>
      <c r="M4" s="18"/>
    </row>
    <row r="5" spans="1:13" ht="12.75">
      <c r="A5" s="124"/>
      <c r="B5" s="98"/>
      <c r="C5" s="98"/>
      <c r="D5" s="98"/>
      <c r="E5" s="98"/>
      <c r="F5" s="98"/>
      <c r="G5" s="98"/>
      <c r="H5" s="98"/>
      <c r="I5" s="98"/>
      <c r="J5" s="98"/>
      <c r="K5" s="98"/>
      <c r="L5" s="126"/>
      <c r="M5" s="18"/>
    </row>
    <row r="6" spans="1:13" ht="12.75">
      <c r="A6" s="118" t="s">
        <v>2</v>
      </c>
      <c r="B6" s="98"/>
      <c r="C6" s="98"/>
      <c r="D6" s="97" t="str">
        <f>'Stavební rozpočet'!C6</f>
        <v>Krnov</v>
      </c>
      <c r="E6" s="98"/>
      <c r="F6" s="98"/>
      <c r="G6" s="97" t="s">
        <v>35</v>
      </c>
      <c r="H6" s="97" t="str">
        <f>'Stavební rozpočet'!F6</f>
        <v> </v>
      </c>
      <c r="I6" s="97" t="s">
        <v>34</v>
      </c>
      <c r="J6" s="97" t="str">
        <f>'Stavební rozpočet'!I6</f>
        <v> </v>
      </c>
      <c r="K6" s="98"/>
      <c r="L6" s="126"/>
      <c r="M6" s="18"/>
    </row>
    <row r="7" spans="1:13" ht="12.75">
      <c r="A7" s="124"/>
      <c r="B7" s="98"/>
      <c r="C7" s="98"/>
      <c r="D7" s="98"/>
      <c r="E7" s="98"/>
      <c r="F7" s="98"/>
      <c r="G7" s="98"/>
      <c r="H7" s="98"/>
      <c r="I7" s="98"/>
      <c r="J7" s="98"/>
      <c r="K7" s="98"/>
      <c r="L7" s="126"/>
      <c r="M7" s="18"/>
    </row>
    <row r="8" spans="1:13" ht="12.75">
      <c r="A8" s="118" t="s">
        <v>4</v>
      </c>
      <c r="B8" s="98"/>
      <c r="C8" s="98"/>
      <c r="D8" s="97">
        <f>'Stavební rozpočet'!C8</f>
        <v>8015</v>
      </c>
      <c r="E8" s="98"/>
      <c r="F8" s="98"/>
      <c r="G8" s="97" t="s">
        <v>78</v>
      </c>
      <c r="H8" s="97" t="str">
        <f>'Stavební rozpočet'!F8</f>
        <v>04.06.2021</v>
      </c>
      <c r="I8" s="97" t="s">
        <v>36</v>
      </c>
      <c r="J8" s="97" t="str">
        <f>'Stavební rozpočet'!I8</f>
        <v>Boris Mičánek</v>
      </c>
      <c r="K8" s="98"/>
      <c r="L8" s="126"/>
      <c r="M8" s="18"/>
    </row>
    <row r="9" spans="1:13" ht="12.75">
      <c r="A9" s="169"/>
      <c r="B9" s="170"/>
      <c r="C9" s="170"/>
      <c r="D9" s="170"/>
      <c r="E9" s="170"/>
      <c r="F9" s="170"/>
      <c r="G9" s="170"/>
      <c r="H9" s="170"/>
      <c r="I9" s="170"/>
      <c r="J9" s="170"/>
      <c r="K9" s="170"/>
      <c r="L9" s="171"/>
      <c r="M9" s="18"/>
    </row>
    <row r="10" spans="1:13" ht="12.75">
      <c r="A10" s="159" t="s">
        <v>70</v>
      </c>
      <c r="B10" s="160"/>
      <c r="C10" s="160"/>
      <c r="D10" s="160"/>
      <c r="E10" s="160"/>
      <c r="F10" s="160"/>
      <c r="G10" s="160"/>
      <c r="H10" s="160"/>
      <c r="I10" s="161"/>
      <c r="J10" s="162" t="s">
        <v>79</v>
      </c>
      <c r="K10" s="163"/>
      <c r="L10" s="164"/>
      <c r="M10" s="19"/>
    </row>
    <row r="11" spans="1:13" ht="12.75">
      <c r="A11" s="165" t="s">
        <v>71</v>
      </c>
      <c r="B11" s="166"/>
      <c r="C11" s="166"/>
      <c r="D11" s="166"/>
      <c r="E11" s="166"/>
      <c r="F11" s="166"/>
      <c r="G11" s="166"/>
      <c r="H11" s="166"/>
      <c r="I11" s="167"/>
      <c r="J11" s="35" t="s">
        <v>80</v>
      </c>
      <c r="K11" s="36" t="s">
        <v>21</v>
      </c>
      <c r="L11" s="37" t="s">
        <v>82</v>
      </c>
      <c r="M11" s="19"/>
    </row>
    <row r="12" spans="1:16" ht="12.75">
      <c r="A12" s="168" t="s">
        <v>72</v>
      </c>
      <c r="B12" s="160"/>
      <c r="C12" s="160"/>
      <c r="D12" s="160"/>
      <c r="E12" s="160"/>
      <c r="F12" s="160"/>
      <c r="G12" s="160"/>
      <c r="H12" s="160"/>
      <c r="I12" s="160"/>
      <c r="J12" s="39">
        <f>'Stavební rozpočet'!I12</f>
        <v>0</v>
      </c>
      <c r="K12" s="39">
        <f>'Stavební rozpočet'!J12</f>
        <v>0</v>
      </c>
      <c r="L12" s="42">
        <f>'Stavební rozpočet'!K12</f>
        <v>0</v>
      </c>
      <c r="M12" s="38" t="s">
        <v>83</v>
      </c>
      <c r="N12" s="40">
        <f>IF(M12="F",0,L12)</f>
        <v>0</v>
      </c>
      <c r="O12" s="17" t="s">
        <v>84</v>
      </c>
      <c r="P12" s="40">
        <f>IF(M12="T",0,L12)</f>
        <v>0</v>
      </c>
    </row>
    <row r="13" spans="1:16" ht="12.75">
      <c r="A13" s="156" t="s">
        <v>73</v>
      </c>
      <c r="B13" s="98"/>
      <c r="C13" s="98"/>
      <c r="D13" s="98"/>
      <c r="E13" s="98"/>
      <c r="F13" s="98"/>
      <c r="G13" s="98"/>
      <c r="H13" s="98"/>
      <c r="I13" s="98"/>
      <c r="J13" s="40">
        <f>'Stavební rozpočet'!I53</f>
        <v>0</v>
      </c>
      <c r="K13" s="40">
        <f>'Stavební rozpočet'!J53</f>
        <v>0</v>
      </c>
      <c r="L13" s="43">
        <f>'Stavební rozpočet'!K53</f>
        <v>0</v>
      </c>
      <c r="M13" s="38" t="s">
        <v>83</v>
      </c>
      <c r="N13" s="40">
        <f>IF(M13="F",0,L13)</f>
        <v>0</v>
      </c>
      <c r="O13" s="17" t="s">
        <v>85</v>
      </c>
      <c r="P13" s="40">
        <f>IF(M13="T",0,L13)</f>
        <v>0</v>
      </c>
    </row>
    <row r="14" spans="1:16" ht="12.75">
      <c r="A14" s="156" t="s">
        <v>74</v>
      </c>
      <c r="B14" s="98"/>
      <c r="C14" s="98"/>
      <c r="D14" s="98"/>
      <c r="E14" s="98"/>
      <c r="F14" s="98"/>
      <c r="G14" s="98"/>
      <c r="H14" s="98"/>
      <c r="I14" s="98"/>
      <c r="J14" s="40">
        <f>'Stavební rozpočet'!I58</f>
        <v>0</v>
      </c>
      <c r="K14" s="40">
        <f>'Stavební rozpočet'!J58</f>
        <v>0</v>
      </c>
      <c r="L14" s="43">
        <f>'Stavební rozpočet'!K58</f>
        <v>0</v>
      </c>
      <c r="M14" s="38" t="s">
        <v>83</v>
      </c>
      <c r="N14" s="40">
        <f>IF(M14="F",0,L14)</f>
        <v>0</v>
      </c>
      <c r="O14" s="17" t="s">
        <v>86</v>
      </c>
      <c r="P14" s="40">
        <f>IF(M14="T",0,L14)</f>
        <v>0</v>
      </c>
    </row>
    <row r="15" spans="1:16" ht="12.75">
      <c r="A15" s="156" t="s">
        <v>75</v>
      </c>
      <c r="B15" s="98"/>
      <c r="C15" s="98"/>
      <c r="D15" s="98"/>
      <c r="E15" s="98"/>
      <c r="F15" s="98"/>
      <c r="G15" s="98"/>
      <c r="H15" s="98"/>
      <c r="I15" s="98"/>
      <c r="J15" s="40">
        <f>'Stavební rozpočet'!I94</f>
        <v>0</v>
      </c>
      <c r="K15" s="40">
        <f>'Stavební rozpočet'!J94</f>
        <v>0</v>
      </c>
      <c r="L15" s="43">
        <f>'Stavební rozpočet'!K94</f>
        <v>0</v>
      </c>
      <c r="M15" s="38" t="s">
        <v>83</v>
      </c>
      <c r="N15" s="40">
        <f>IF(M15="F",0,L15)</f>
        <v>0</v>
      </c>
      <c r="O15" s="17" t="s">
        <v>87</v>
      </c>
      <c r="P15" s="40">
        <f>IF(M15="T",0,L15)</f>
        <v>0</v>
      </c>
    </row>
    <row r="16" spans="1:16" ht="12.75">
      <c r="A16" s="157" t="s">
        <v>76</v>
      </c>
      <c r="B16" s="120"/>
      <c r="C16" s="120"/>
      <c r="D16" s="120"/>
      <c r="E16" s="120"/>
      <c r="F16" s="120"/>
      <c r="G16" s="120"/>
      <c r="H16" s="120"/>
      <c r="I16" s="120"/>
      <c r="J16" s="41">
        <f>'Stavební rozpočet'!I103</f>
        <v>0</v>
      </c>
      <c r="K16" s="41">
        <f>'Stavební rozpočet'!J103</f>
        <v>0</v>
      </c>
      <c r="L16" s="44">
        <f>'Stavební rozpočet'!K103</f>
        <v>0</v>
      </c>
      <c r="M16" s="38" t="s">
        <v>83</v>
      </c>
      <c r="N16" s="40">
        <f>IF(M16="F",0,L16)</f>
        <v>0</v>
      </c>
      <c r="O16" s="17" t="s">
        <v>88</v>
      </c>
      <c r="P16" s="40">
        <f>IF(M16="T",0,L16)</f>
        <v>0</v>
      </c>
    </row>
    <row r="17" spans="1:12" ht="12.75">
      <c r="A17" s="5"/>
      <c r="B17" s="5"/>
      <c r="C17" s="5"/>
      <c r="D17" s="5"/>
      <c r="E17" s="5"/>
      <c r="F17" s="5"/>
      <c r="G17" s="5"/>
      <c r="H17" s="5"/>
      <c r="I17" s="5"/>
      <c r="J17" s="158" t="s">
        <v>81</v>
      </c>
      <c r="K17" s="132"/>
      <c r="L17" s="45">
        <f>SUM(P12:P16)</f>
        <v>0</v>
      </c>
    </row>
    <row r="18" ht="11.25" customHeight="1">
      <c r="A18" s="34" t="s">
        <v>18</v>
      </c>
    </row>
    <row r="19" spans="1:12" ht="12.75">
      <c r="A19" s="97"/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98"/>
    </row>
  </sheetData>
  <sheetProtection/>
  <mergeCells count="35">
    <mergeCell ref="A1:L1"/>
    <mergeCell ref="A2:C3"/>
    <mergeCell ref="D2:F3"/>
    <mergeCell ref="G2:G3"/>
    <mergeCell ref="H2:H3"/>
    <mergeCell ref="I2:I3"/>
    <mergeCell ref="J2:L3"/>
    <mergeCell ref="A4:C5"/>
    <mergeCell ref="D4:F5"/>
    <mergeCell ref="G4:G5"/>
    <mergeCell ref="H4:H5"/>
    <mergeCell ref="I4:I5"/>
    <mergeCell ref="J4:L5"/>
    <mergeCell ref="A6:C7"/>
    <mergeCell ref="D6:F7"/>
    <mergeCell ref="G6:G7"/>
    <mergeCell ref="H6:H7"/>
    <mergeCell ref="I6:I7"/>
    <mergeCell ref="J6:L7"/>
    <mergeCell ref="A8:C9"/>
    <mergeCell ref="D8:F9"/>
    <mergeCell ref="G8:G9"/>
    <mergeCell ref="H8:H9"/>
    <mergeCell ref="I8:I9"/>
    <mergeCell ref="J8:L9"/>
    <mergeCell ref="A15:I15"/>
    <mergeCell ref="A16:I16"/>
    <mergeCell ref="J17:K17"/>
    <mergeCell ref="A19:L19"/>
    <mergeCell ref="A10:I10"/>
    <mergeCell ref="J10:L10"/>
    <mergeCell ref="A11:I11"/>
    <mergeCell ref="A12:I12"/>
    <mergeCell ref="A13:I13"/>
    <mergeCell ref="A14:I14"/>
  </mergeCells>
  <printOptions/>
  <pageMargins left="0.394" right="0.394" top="0.591" bottom="0.591" header="0.5" footer="0.5"/>
  <pageSetup fitToHeight="0" fitToWidth="1" horizontalDpi="600" verticalDpi="600" orientation="landscape" paperSize="9" scale="7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3"/>
  <sheetViews>
    <sheetView zoomScalePageLayoutView="0" workbookViewId="0" topLeftCell="A1">
      <pane ySplit="11" topLeftCell="A12" activePane="bottomLeft" state="frozen"/>
      <selection pane="topLeft" activeCell="A1" sqref="A1"/>
      <selection pane="bottomLeft" activeCell="A1" sqref="A1:L1"/>
    </sheetView>
  </sheetViews>
  <sheetFormatPr defaultColWidth="11.57421875" defaultRowHeight="12.75"/>
  <cols>
    <col min="1" max="1" width="5.7109375" style="0" customWidth="1"/>
    <col min="2" max="9" width="15.7109375" style="0" customWidth="1"/>
    <col min="10" max="12" width="14.28125" style="0" customWidth="1"/>
    <col min="13" max="16" width="12.140625" style="0" hidden="1" customWidth="1"/>
  </cols>
  <sheetData>
    <row r="1" spans="1:12" ht="72.75" customHeight="1">
      <c r="A1" s="172" t="s">
        <v>89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</row>
    <row r="2" spans="1:13" ht="12.75">
      <c r="A2" s="129" t="s">
        <v>0</v>
      </c>
      <c r="B2" s="130"/>
      <c r="C2" s="130"/>
      <c r="D2" s="131" t="str">
        <f>'Stavební rozpočet'!C2</f>
        <v>Atletický stadion v Krnově - sestava kontejnerů</v>
      </c>
      <c r="E2" s="132"/>
      <c r="F2" s="132"/>
      <c r="G2" s="134" t="s">
        <v>77</v>
      </c>
      <c r="H2" s="134" t="str">
        <f>'Stavební rozpočet'!F2</f>
        <v> </v>
      </c>
      <c r="I2" s="134" t="s">
        <v>32</v>
      </c>
      <c r="J2" s="134" t="str">
        <f>'Stavební rozpočet'!I2</f>
        <v> </v>
      </c>
      <c r="K2" s="130"/>
      <c r="L2" s="173"/>
      <c r="M2" s="18"/>
    </row>
    <row r="3" spans="1:13" ht="51" customHeight="1">
      <c r="A3" s="124"/>
      <c r="B3" s="98"/>
      <c r="C3" s="98"/>
      <c r="D3" s="133"/>
      <c r="E3" s="133"/>
      <c r="F3" s="133"/>
      <c r="G3" s="98"/>
      <c r="H3" s="98"/>
      <c r="I3" s="98"/>
      <c r="J3" s="98"/>
      <c r="K3" s="98"/>
      <c r="L3" s="126"/>
      <c r="M3" s="18"/>
    </row>
    <row r="4" spans="1:13" ht="12.75">
      <c r="A4" s="118" t="s">
        <v>1</v>
      </c>
      <c r="B4" s="98"/>
      <c r="C4" s="98"/>
      <c r="D4" s="97" t="str">
        <f>'Stavební rozpočet'!C4</f>
        <v>dočasná stavba</v>
      </c>
      <c r="E4" s="98"/>
      <c r="F4" s="98"/>
      <c r="G4" s="97" t="s">
        <v>3</v>
      </c>
      <c r="H4" s="97" t="str">
        <f>'Stavební rozpočet'!F4</f>
        <v> </v>
      </c>
      <c r="I4" s="97" t="s">
        <v>33</v>
      </c>
      <c r="J4" s="97" t="str">
        <f>'Stavební rozpočet'!I4</f>
        <v>Ing. Karel Oubělický – OK Project</v>
      </c>
      <c r="K4" s="98"/>
      <c r="L4" s="126"/>
      <c r="M4" s="18"/>
    </row>
    <row r="5" spans="1:13" ht="12.75">
      <c r="A5" s="124"/>
      <c r="B5" s="98"/>
      <c r="C5" s="98"/>
      <c r="D5" s="98"/>
      <c r="E5" s="98"/>
      <c r="F5" s="98"/>
      <c r="G5" s="98"/>
      <c r="H5" s="98"/>
      <c r="I5" s="98"/>
      <c r="J5" s="98"/>
      <c r="K5" s="98"/>
      <c r="L5" s="126"/>
      <c r="M5" s="18"/>
    </row>
    <row r="6" spans="1:13" ht="12.75">
      <c r="A6" s="118" t="s">
        <v>2</v>
      </c>
      <c r="B6" s="98"/>
      <c r="C6" s="98"/>
      <c r="D6" s="97" t="str">
        <f>'Stavební rozpočet'!C6</f>
        <v>Krnov</v>
      </c>
      <c r="E6" s="98"/>
      <c r="F6" s="98"/>
      <c r="G6" s="97" t="s">
        <v>35</v>
      </c>
      <c r="H6" s="97" t="str">
        <f>'Stavební rozpočet'!F6</f>
        <v> </v>
      </c>
      <c r="I6" s="97" t="s">
        <v>34</v>
      </c>
      <c r="J6" s="97" t="str">
        <f>'Stavební rozpočet'!I6</f>
        <v> </v>
      </c>
      <c r="K6" s="98"/>
      <c r="L6" s="126"/>
      <c r="M6" s="18"/>
    </row>
    <row r="7" spans="1:13" ht="12.75">
      <c r="A7" s="124"/>
      <c r="B7" s="98"/>
      <c r="C7" s="98"/>
      <c r="D7" s="98"/>
      <c r="E7" s="98"/>
      <c r="F7" s="98"/>
      <c r="G7" s="98"/>
      <c r="H7" s="98"/>
      <c r="I7" s="98"/>
      <c r="J7" s="98"/>
      <c r="K7" s="98"/>
      <c r="L7" s="126"/>
      <c r="M7" s="18"/>
    </row>
    <row r="8" spans="1:13" ht="12.75">
      <c r="A8" s="118" t="s">
        <v>4</v>
      </c>
      <c r="B8" s="98"/>
      <c r="C8" s="98"/>
      <c r="D8" s="97">
        <f>'Stavební rozpočet'!C8</f>
        <v>8015</v>
      </c>
      <c r="E8" s="98"/>
      <c r="F8" s="98"/>
      <c r="G8" s="97" t="s">
        <v>78</v>
      </c>
      <c r="H8" s="97" t="str">
        <f>'Stavební rozpočet'!F8</f>
        <v>04.06.2021</v>
      </c>
      <c r="I8" s="97" t="s">
        <v>36</v>
      </c>
      <c r="J8" s="97" t="str">
        <f>'Stavební rozpočet'!I8</f>
        <v>Boris Mičánek</v>
      </c>
      <c r="K8" s="98"/>
      <c r="L8" s="126"/>
      <c r="M8" s="18"/>
    </row>
    <row r="9" spans="1:13" ht="12.75">
      <c r="A9" s="169"/>
      <c r="B9" s="170"/>
      <c r="C9" s="170"/>
      <c r="D9" s="170"/>
      <c r="E9" s="170"/>
      <c r="F9" s="170"/>
      <c r="G9" s="170"/>
      <c r="H9" s="170"/>
      <c r="I9" s="170"/>
      <c r="J9" s="170"/>
      <c r="K9" s="170"/>
      <c r="L9" s="171"/>
      <c r="M9" s="18"/>
    </row>
    <row r="10" spans="1:13" ht="12.75">
      <c r="A10" s="46" t="s">
        <v>70</v>
      </c>
      <c r="B10" s="168" t="s">
        <v>70</v>
      </c>
      <c r="C10" s="160"/>
      <c r="D10" s="160"/>
      <c r="E10" s="160"/>
      <c r="F10" s="160"/>
      <c r="G10" s="160"/>
      <c r="H10" s="160"/>
      <c r="I10" s="161"/>
      <c r="J10" s="162" t="s">
        <v>79</v>
      </c>
      <c r="K10" s="163"/>
      <c r="L10" s="164"/>
      <c r="M10" s="19"/>
    </row>
    <row r="11" spans="1:13" ht="12.75">
      <c r="A11" s="47" t="s">
        <v>90</v>
      </c>
      <c r="B11" s="175" t="s">
        <v>71</v>
      </c>
      <c r="C11" s="166"/>
      <c r="D11" s="166"/>
      <c r="E11" s="166"/>
      <c r="F11" s="166"/>
      <c r="G11" s="166"/>
      <c r="H11" s="166"/>
      <c r="I11" s="167"/>
      <c r="J11" s="35" t="s">
        <v>80</v>
      </c>
      <c r="K11" s="36" t="s">
        <v>21</v>
      </c>
      <c r="L11" s="37" t="s">
        <v>82</v>
      </c>
      <c r="M11" s="19"/>
    </row>
    <row r="12" spans="1:16" ht="12.75">
      <c r="A12" s="31"/>
      <c r="B12" s="176" t="s">
        <v>72</v>
      </c>
      <c r="C12" s="160"/>
      <c r="D12" s="160"/>
      <c r="E12" s="160"/>
      <c r="F12" s="160"/>
      <c r="G12" s="160"/>
      <c r="H12" s="160"/>
      <c r="I12" s="160"/>
      <c r="J12" s="39">
        <f>'Stavební rozpočet'!I12</f>
        <v>0</v>
      </c>
      <c r="K12" s="39">
        <f>'Stavební rozpočet'!J12</f>
        <v>0</v>
      </c>
      <c r="L12" s="42">
        <f>'Stavební rozpočet'!K12</f>
        <v>0</v>
      </c>
      <c r="M12" s="38" t="s">
        <v>83</v>
      </c>
      <c r="N12" s="40">
        <f aca="true" t="shared" si="0" ref="N12:N30">IF(M12="F",0,L12)</f>
        <v>0</v>
      </c>
      <c r="O12" s="17" t="s">
        <v>84</v>
      </c>
      <c r="P12" s="40">
        <f aca="true" t="shared" si="1" ref="P12:P30">IF(M12="T",0,L12)</f>
        <v>0</v>
      </c>
    </row>
    <row r="13" spans="1:16" ht="12.75">
      <c r="A13" s="32" t="s">
        <v>91</v>
      </c>
      <c r="B13" s="121" t="s">
        <v>99</v>
      </c>
      <c r="C13" s="98"/>
      <c r="D13" s="98"/>
      <c r="E13" s="98"/>
      <c r="F13" s="98"/>
      <c r="G13" s="98"/>
      <c r="H13" s="98"/>
      <c r="I13" s="98"/>
      <c r="J13" s="40">
        <f>SUMIF('Stavební rozpočet'!AY13:AY111,"SO01_1_",'Stavební rozpočet'!AV13:AV111)</f>
        <v>0</v>
      </c>
      <c r="K13" s="40">
        <f>SUMIF('Stavební rozpočet'!AY13:AY111,"SO01_1_",'Stavební rozpočet'!AW13:AW111)</f>
        <v>0</v>
      </c>
      <c r="L13" s="43">
        <f>SUMIF('Stavební rozpočet'!AY13:AY111,"SO01_1_",'Stavební rozpočet'!AU13:AU111)</f>
        <v>0</v>
      </c>
      <c r="M13" s="38" t="s">
        <v>107</v>
      </c>
      <c r="N13" s="40">
        <f t="shared" si="0"/>
        <v>0</v>
      </c>
      <c r="O13" s="17" t="s">
        <v>84</v>
      </c>
      <c r="P13" s="40">
        <f t="shared" si="1"/>
        <v>0</v>
      </c>
    </row>
    <row r="14" spans="1:16" ht="12.75">
      <c r="A14" s="32" t="s">
        <v>92</v>
      </c>
      <c r="B14" s="121" t="s">
        <v>100</v>
      </c>
      <c r="C14" s="98"/>
      <c r="D14" s="98"/>
      <c r="E14" s="98"/>
      <c r="F14" s="98"/>
      <c r="G14" s="98"/>
      <c r="H14" s="98"/>
      <c r="I14" s="98"/>
      <c r="J14" s="40">
        <f>SUMIF('Stavební rozpočet'!AY13:AY111,"SO01_2_",'Stavební rozpočet'!AV13:AV111)</f>
        <v>0</v>
      </c>
      <c r="K14" s="40">
        <f>SUMIF('Stavební rozpočet'!AY13:AY111,"SO01_2_",'Stavební rozpočet'!AW13:AW111)</f>
        <v>0</v>
      </c>
      <c r="L14" s="43">
        <f>SUMIF('Stavební rozpočet'!AY13:AY111,"SO01_2_",'Stavební rozpočet'!AU13:AU111)</f>
        <v>0</v>
      </c>
      <c r="M14" s="38" t="s">
        <v>107</v>
      </c>
      <c r="N14" s="40">
        <f t="shared" si="0"/>
        <v>0</v>
      </c>
      <c r="O14" s="17" t="s">
        <v>84</v>
      </c>
      <c r="P14" s="40">
        <f t="shared" si="1"/>
        <v>0</v>
      </c>
    </row>
    <row r="15" spans="1:16" ht="12.75">
      <c r="A15" s="32" t="s">
        <v>93</v>
      </c>
      <c r="B15" s="121" t="s">
        <v>101</v>
      </c>
      <c r="C15" s="98"/>
      <c r="D15" s="98"/>
      <c r="E15" s="98"/>
      <c r="F15" s="98"/>
      <c r="G15" s="98"/>
      <c r="H15" s="98"/>
      <c r="I15" s="98"/>
      <c r="J15" s="40">
        <f>SUMIF('Stavební rozpočet'!AY13:AY111,"SO01_5_",'Stavební rozpočet'!AV13:AV111)</f>
        <v>0</v>
      </c>
      <c r="K15" s="40">
        <f>SUMIF('Stavební rozpočet'!AY13:AY111,"SO01_5_",'Stavební rozpočet'!AW13:AW111)</f>
        <v>0</v>
      </c>
      <c r="L15" s="43">
        <f>SUMIF('Stavební rozpočet'!AY13:AY111,"SO01_5_",'Stavební rozpočet'!AU13:AU111)</f>
        <v>0</v>
      </c>
      <c r="M15" s="38" t="s">
        <v>107</v>
      </c>
      <c r="N15" s="40">
        <f t="shared" si="0"/>
        <v>0</v>
      </c>
      <c r="O15" s="17" t="s">
        <v>84</v>
      </c>
      <c r="P15" s="40">
        <f t="shared" si="1"/>
        <v>0</v>
      </c>
    </row>
    <row r="16" spans="1:16" ht="12.75">
      <c r="A16" s="32" t="s">
        <v>94</v>
      </c>
      <c r="B16" s="121" t="s">
        <v>102</v>
      </c>
      <c r="C16" s="98"/>
      <c r="D16" s="98"/>
      <c r="E16" s="98"/>
      <c r="F16" s="98"/>
      <c r="G16" s="98"/>
      <c r="H16" s="98"/>
      <c r="I16" s="98"/>
      <c r="J16" s="40">
        <f>SUMIF('Stavební rozpočet'!AY13:AY111,"SO01_9_",'Stavební rozpočet'!AV13:AV111)</f>
        <v>0</v>
      </c>
      <c r="K16" s="40">
        <f>SUMIF('Stavební rozpočet'!AY13:AY111,"SO01_9_",'Stavební rozpočet'!AW13:AW111)</f>
        <v>0</v>
      </c>
      <c r="L16" s="43">
        <f>SUMIF('Stavební rozpočet'!AY13:AY111,"SO01_9_",'Stavební rozpočet'!AU13:AU111)</f>
        <v>0</v>
      </c>
      <c r="M16" s="38" t="s">
        <v>107</v>
      </c>
      <c r="N16" s="40">
        <f t="shared" si="0"/>
        <v>0</v>
      </c>
      <c r="O16" s="17" t="s">
        <v>84</v>
      </c>
      <c r="P16" s="40">
        <f t="shared" si="1"/>
        <v>0</v>
      </c>
    </row>
    <row r="17" spans="1:16" ht="12.75">
      <c r="A17" s="32"/>
      <c r="B17" s="121" t="s">
        <v>73</v>
      </c>
      <c r="C17" s="98"/>
      <c r="D17" s="98"/>
      <c r="E17" s="98"/>
      <c r="F17" s="98"/>
      <c r="G17" s="98"/>
      <c r="H17" s="98"/>
      <c r="I17" s="98"/>
      <c r="J17" s="40">
        <f>'Stavební rozpočet'!I53</f>
        <v>0</v>
      </c>
      <c r="K17" s="40">
        <f>'Stavební rozpočet'!J53</f>
        <v>0</v>
      </c>
      <c r="L17" s="43">
        <f>'Stavební rozpočet'!K53</f>
        <v>0</v>
      </c>
      <c r="M17" s="38" t="s">
        <v>83</v>
      </c>
      <c r="N17" s="40">
        <f t="shared" si="0"/>
        <v>0</v>
      </c>
      <c r="O17" s="17" t="s">
        <v>85</v>
      </c>
      <c r="P17" s="40">
        <f t="shared" si="1"/>
        <v>0</v>
      </c>
    </row>
    <row r="18" spans="1:16" ht="12.75">
      <c r="A18" s="32" t="s">
        <v>95</v>
      </c>
      <c r="B18" s="121" t="s">
        <v>103</v>
      </c>
      <c r="C18" s="98"/>
      <c r="D18" s="98"/>
      <c r="E18" s="98"/>
      <c r="F18" s="98"/>
      <c r="G18" s="98"/>
      <c r="H18" s="98"/>
      <c r="I18" s="98"/>
      <c r="J18" s="40">
        <f>SUMIF('Stavební rozpočet'!AY13:AY111,"SO02_76_",'Stavební rozpočet'!AV13:AV111)</f>
        <v>0</v>
      </c>
      <c r="K18" s="40">
        <f>SUMIF('Stavební rozpočet'!AY13:AY111,"SO02_76_",'Stavební rozpočet'!AW13:AW111)</f>
        <v>0</v>
      </c>
      <c r="L18" s="43">
        <f>SUMIF('Stavební rozpočet'!AY13:AY111,"SO02_76_",'Stavební rozpočet'!AU13:AU111)</f>
        <v>0</v>
      </c>
      <c r="M18" s="38" t="s">
        <v>107</v>
      </c>
      <c r="N18" s="40">
        <f t="shared" si="0"/>
        <v>0</v>
      </c>
      <c r="O18" s="17" t="s">
        <v>85</v>
      </c>
      <c r="P18" s="40">
        <f t="shared" si="1"/>
        <v>0</v>
      </c>
    </row>
    <row r="19" spans="1:16" ht="12.75">
      <c r="A19" s="32"/>
      <c r="B19" s="121" t="s">
        <v>74</v>
      </c>
      <c r="C19" s="98"/>
      <c r="D19" s="98"/>
      <c r="E19" s="98"/>
      <c r="F19" s="98"/>
      <c r="G19" s="98"/>
      <c r="H19" s="98"/>
      <c r="I19" s="98"/>
      <c r="J19" s="40">
        <f>'Stavební rozpočet'!I58</f>
        <v>0</v>
      </c>
      <c r="K19" s="40">
        <f>'Stavební rozpočet'!J58</f>
        <v>0</v>
      </c>
      <c r="L19" s="43">
        <f>'Stavební rozpočet'!K58</f>
        <v>0</v>
      </c>
      <c r="M19" s="38" t="s">
        <v>83</v>
      </c>
      <c r="N19" s="40">
        <f t="shared" si="0"/>
        <v>0</v>
      </c>
      <c r="O19" s="17" t="s">
        <v>86</v>
      </c>
      <c r="P19" s="40">
        <f t="shared" si="1"/>
        <v>0</v>
      </c>
    </row>
    <row r="20" spans="1:16" ht="12.75">
      <c r="A20" s="32" t="s">
        <v>91</v>
      </c>
      <c r="B20" s="121" t="s">
        <v>99</v>
      </c>
      <c r="C20" s="98"/>
      <c r="D20" s="98"/>
      <c r="E20" s="98"/>
      <c r="F20" s="98"/>
      <c r="G20" s="98"/>
      <c r="H20" s="98"/>
      <c r="I20" s="98"/>
      <c r="J20" s="40">
        <f>SUMIF('Stavební rozpočet'!AY13:AY111,"SO03_1_",'Stavební rozpočet'!AV13:AV111)</f>
        <v>0</v>
      </c>
      <c r="K20" s="40">
        <f>SUMIF('Stavební rozpočet'!AY13:AY111,"SO03_1_",'Stavební rozpočet'!AW13:AW111)</f>
        <v>0</v>
      </c>
      <c r="L20" s="43">
        <f>SUMIF('Stavební rozpočet'!AY13:AY111,"SO03_1_",'Stavební rozpočet'!AU13:AU111)</f>
        <v>0</v>
      </c>
      <c r="M20" s="38" t="s">
        <v>107</v>
      </c>
      <c r="N20" s="40">
        <f t="shared" si="0"/>
        <v>0</v>
      </c>
      <c r="O20" s="17" t="s">
        <v>86</v>
      </c>
      <c r="P20" s="40">
        <f t="shared" si="1"/>
        <v>0</v>
      </c>
    </row>
    <row r="21" spans="1:16" ht="12.75">
      <c r="A21" s="32" t="s">
        <v>96</v>
      </c>
      <c r="B21" s="121" t="s">
        <v>104</v>
      </c>
      <c r="C21" s="98"/>
      <c r="D21" s="98"/>
      <c r="E21" s="98"/>
      <c r="F21" s="98"/>
      <c r="G21" s="98"/>
      <c r="H21" s="98"/>
      <c r="I21" s="98"/>
      <c r="J21" s="40">
        <f>SUMIF('Stavební rozpočet'!AY13:AY111,"SO03_4_",'Stavební rozpočet'!AV13:AV111)</f>
        <v>0</v>
      </c>
      <c r="K21" s="40">
        <f>SUMIF('Stavební rozpočet'!AY13:AY111,"SO03_4_",'Stavební rozpočet'!AW13:AW111)</f>
        <v>0</v>
      </c>
      <c r="L21" s="43">
        <f>SUMIF('Stavební rozpočet'!AY13:AY111,"SO03_4_",'Stavební rozpočet'!AU13:AU111)</f>
        <v>0</v>
      </c>
      <c r="M21" s="38" t="s">
        <v>107</v>
      </c>
      <c r="N21" s="40">
        <f t="shared" si="0"/>
        <v>0</v>
      </c>
      <c r="O21" s="17" t="s">
        <v>86</v>
      </c>
      <c r="P21" s="40">
        <f t="shared" si="1"/>
        <v>0</v>
      </c>
    </row>
    <row r="22" spans="1:16" ht="12.75">
      <c r="A22" s="32" t="s">
        <v>97</v>
      </c>
      <c r="B22" s="121" t="s">
        <v>105</v>
      </c>
      <c r="C22" s="98"/>
      <c r="D22" s="98"/>
      <c r="E22" s="98"/>
      <c r="F22" s="98"/>
      <c r="G22" s="98"/>
      <c r="H22" s="98"/>
      <c r="I22" s="98"/>
      <c r="J22" s="40">
        <f>SUMIF('Stavební rozpočet'!AY13:AY111,"SO03_72_",'Stavební rozpočet'!AV13:AV111)</f>
        <v>0</v>
      </c>
      <c r="K22" s="40">
        <f>SUMIF('Stavební rozpočet'!AY13:AY111,"SO03_72_",'Stavební rozpočet'!AW13:AW111)</f>
        <v>0</v>
      </c>
      <c r="L22" s="43">
        <f>SUMIF('Stavební rozpočet'!AY13:AY111,"SO03_72_",'Stavební rozpočet'!AU13:AU111)</f>
        <v>0</v>
      </c>
      <c r="M22" s="38" t="s">
        <v>107</v>
      </c>
      <c r="N22" s="40">
        <f t="shared" si="0"/>
        <v>0</v>
      </c>
      <c r="O22" s="17" t="s">
        <v>86</v>
      </c>
      <c r="P22" s="40">
        <f t="shared" si="1"/>
        <v>0</v>
      </c>
    </row>
    <row r="23" spans="1:16" ht="12.75">
      <c r="A23" s="32" t="s">
        <v>98</v>
      </c>
      <c r="B23" s="121" t="s">
        <v>106</v>
      </c>
      <c r="C23" s="98"/>
      <c r="D23" s="98"/>
      <c r="E23" s="98"/>
      <c r="F23" s="98"/>
      <c r="G23" s="98"/>
      <c r="H23" s="98"/>
      <c r="I23" s="98"/>
      <c r="J23" s="40">
        <f>SUMIF('Stavební rozpočet'!AY13:AY111,"SO03_8_",'Stavební rozpočet'!AV13:AV111)</f>
        <v>0</v>
      </c>
      <c r="K23" s="40">
        <f>SUMIF('Stavební rozpočet'!AY13:AY111,"SO03_8_",'Stavební rozpočet'!AW13:AW111)</f>
        <v>0</v>
      </c>
      <c r="L23" s="43">
        <f>SUMIF('Stavební rozpočet'!AY13:AY111,"SO03_8_",'Stavební rozpočet'!AU13:AU111)</f>
        <v>0</v>
      </c>
      <c r="M23" s="38" t="s">
        <v>107</v>
      </c>
      <c r="N23" s="40">
        <f t="shared" si="0"/>
        <v>0</v>
      </c>
      <c r="O23" s="17" t="s">
        <v>86</v>
      </c>
      <c r="P23" s="40">
        <f t="shared" si="1"/>
        <v>0</v>
      </c>
    </row>
    <row r="24" spans="1:16" ht="12.75">
      <c r="A24" s="32" t="s">
        <v>94</v>
      </c>
      <c r="B24" s="121" t="s">
        <v>102</v>
      </c>
      <c r="C24" s="98"/>
      <c r="D24" s="98"/>
      <c r="E24" s="98"/>
      <c r="F24" s="98"/>
      <c r="G24" s="98"/>
      <c r="H24" s="98"/>
      <c r="I24" s="98"/>
      <c r="J24" s="40">
        <f>SUMIF('Stavební rozpočet'!AY13:AY111,"SO03_9_",'Stavební rozpočet'!AV13:AV111)</f>
        <v>0</v>
      </c>
      <c r="K24" s="40">
        <f>SUMIF('Stavební rozpočet'!AY13:AY111,"SO03_9_",'Stavební rozpočet'!AW13:AW111)</f>
        <v>0</v>
      </c>
      <c r="L24" s="43">
        <f>SUMIF('Stavební rozpočet'!AY13:AY111,"SO03_9_",'Stavební rozpočet'!AU13:AU111)</f>
        <v>0</v>
      </c>
      <c r="M24" s="38" t="s">
        <v>107</v>
      </c>
      <c r="N24" s="40">
        <f t="shared" si="0"/>
        <v>0</v>
      </c>
      <c r="O24" s="17" t="s">
        <v>86</v>
      </c>
      <c r="P24" s="40">
        <f t="shared" si="1"/>
        <v>0</v>
      </c>
    </row>
    <row r="25" spans="1:16" ht="12.75">
      <c r="A25" s="32"/>
      <c r="B25" s="121" t="s">
        <v>75</v>
      </c>
      <c r="C25" s="98"/>
      <c r="D25" s="98"/>
      <c r="E25" s="98"/>
      <c r="F25" s="98"/>
      <c r="G25" s="98"/>
      <c r="H25" s="98"/>
      <c r="I25" s="98"/>
      <c r="J25" s="40">
        <f>'Stavební rozpočet'!I94</f>
        <v>0</v>
      </c>
      <c r="K25" s="40">
        <f>'Stavební rozpočet'!J94</f>
        <v>0</v>
      </c>
      <c r="L25" s="43">
        <f>'Stavební rozpočet'!K94</f>
        <v>0</v>
      </c>
      <c r="M25" s="38" t="s">
        <v>83</v>
      </c>
      <c r="N25" s="40">
        <f t="shared" si="0"/>
        <v>0</v>
      </c>
      <c r="O25" s="17" t="s">
        <v>87</v>
      </c>
      <c r="P25" s="40">
        <f t="shared" si="1"/>
        <v>0</v>
      </c>
    </row>
    <row r="26" spans="1:16" ht="12.75">
      <c r="A26" s="32" t="s">
        <v>98</v>
      </c>
      <c r="B26" s="121" t="s">
        <v>106</v>
      </c>
      <c r="C26" s="98"/>
      <c r="D26" s="98"/>
      <c r="E26" s="98"/>
      <c r="F26" s="98"/>
      <c r="G26" s="98"/>
      <c r="H26" s="98"/>
      <c r="I26" s="98"/>
      <c r="J26" s="40">
        <f>SUMIF('Stavební rozpočet'!AY13:AY111,"SO04_8_",'Stavební rozpočet'!AV13:AV111)</f>
        <v>0</v>
      </c>
      <c r="K26" s="40">
        <f>SUMIF('Stavební rozpočet'!AY13:AY111,"SO04_8_",'Stavební rozpočet'!AW13:AW111)</f>
        <v>0</v>
      </c>
      <c r="L26" s="43">
        <f>SUMIF('Stavební rozpočet'!AY13:AY111,"SO04_8_",'Stavební rozpočet'!AU13:AU111)</f>
        <v>0</v>
      </c>
      <c r="M26" s="38" t="s">
        <v>107</v>
      </c>
      <c r="N26" s="40">
        <f t="shared" si="0"/>
        <v>0</v>
      </c>
      <c r="O26" s="17" t="s">
        <v>87</v>
      </c>
      <c r="P26" s="40">
        <f t="shared" si="1"/>
        <v>0</v>
      </c>
    </row>
    <row r="27" spans="1:16" ht="12.75">
      <c r="A27" s="32" t="s">
        <v>94</v>
      </c>
      <c r="B27" s="121" t="s">
        <v>102</v>
      </c>
      <c r="C27" s="98"/>
      <c r="D27" s="98"/>
      <c r="E27" s="98"/>
      <c r="F27" s="98"/>
      <c r="G27" s="98"/>
      <c r="H27" s="98"/>
      <c r="I27" s="98"/>
      <c r="J27" s="40">
        <f>SUMIF('Stavební rozpočet'!AY13:AY111,"SO04_9_",'Stavební rozpočet'!AV13:AV111)</f>
        <v>0</v>
      </c>
      <c r="K27" s="40">
        <f>SUMIF('Stavební rozpočet'!AY13:AY111,"SO04_9_",'Stavební rozpočet'!AW13:AW111)</f>
        <v>0</v>
      </c>
      <c r="L27" s="43">
        <f>SUMIF('Stavební rozpočet'!AY13:AY111,"SO04_9_",'Stavební rozpočet'!AU13:AU111)</f>
        <v>0</v>
      </c>
      <c r="M27" s="38" t="s">
        <v>107</v>
      </c>
      <c r="N27" s="40">
        <f t="shared" si="0"/>
        <v>0</v>
      </c>
      <c r="O27" s="17" t="s">
        <v>87</v>
      </c>
      <c r="P27" s="40">
        <f t="shared" si="1"/>
        <v>0</v>
      </c>
    </row>
    <row r="28" spans="1:16" ht="12.75">
      <c r="A28" s="32"/>
      <c r="B28" s="121" t="s">
        <v>10</v>
      </c>
      <c r="C28" s="98"/>
      <c r="D28" s="98"/>
      <c r="E28" s="98"/>
      <c r="F28" s="98"/>
      <c r="G28" s="98"/>
      <c r="H28" s="98"/>
      <c r="I28" s="98"/>
      <c r="J28" s="40">
        <f>SUMIF('Stavební rozpočet'!AY13:AY111,"SO04_Z_",'Stavební rozpočet'!AV13:AV111)</f>
        <v>0</v>
      </c>
      <c r="K28" s="40">
        <f>SUMIF('Stavební rozpočet'!AY13:AY111,"SO04_Z_",'Stavební rozpočet'!AW13:AW111)</f>
        <v>0</v>
      </c>
      <c r="L28" s="43">
        <f>SUMIF('Stavební rozpočet'!AY13:AY111,"SO04_Z_",'Stavební rozpočet'!AU13:AU111)</f>
        <v>0</v>
      </c>
      <c r="M28" s="38" t="s">
        <v>107</v>
      </c>
      <c r="N28" s="40">
        <f t="shared" si="0"/>
        <v>0</v>
      </c>
      <c r="O28" s="17" t="s">
        <v>87</v>
      </c>
      <c r="P28" s="40">
        <f t="shared" si="1"/>
        <v>0</v>
      </c>
    </row>
    <row r="29" spans="1:16" ht="12.75">
      <c r="A29" s="32"/>
      <c r="B29" s="121" t="s">
        <v>76</v>
      </c>
      <c r="C29" s="98"/>
      <c r="D29" s="98"/>
      <c r="E29" s="98"/>
      <c r="F29" s="98"/>
      <c r="G29" s="98"/>
      <c r="H29" s="98"/>
      <c r="I29" s="98"/>
      <c r="J29" s="40">
        <f>'Stavební rozpočet'!I103</f>
        <v>0</v>
      </c>
      <c r="K29" s="40">
        <f>'Stavební rozpočet'!J103</f>
        <v>0</v>
      </c>
      <c r="L29" s="43">
        <f>'Stavební rozpočet'!K103</f>
        <v>0</v>
      </c>
      <c r="M29" s="38" t="s">
        <v>83</v>
      </c>
      <c r="N29" s="40">
        <f t="shared" si="0"/>
        <v>0</v>
      </c>
      <c r="O29" s="17" t="s">
        <v>88</v>
      </c>
      <c r="P29" s="40">
        <f t="shared" si="1"/>
        <v>0</v>
      </c>
    </row>
    <row r="30" spans="1:16" ht="12.75">
      <c r="A30" s="33" t="s">
        <v>94</v>
      </c>
      <c r="B30" s="174" t="s">
        <v>102</v>
      </c>
      <c r="C30" s="120"/>
      <c r="D30" s="120"/>
      <c r="E30" s="120"/>
      <c r="F30" s="120"/>
      <c r="G30" s="120"/>
      <c r="H30" s="120"/>
      <c r="I30" s="120"/>
      <c r="J30" s="41">
        <f>SUMIF('Stavební rozpočet'!AY13:AY111,"SO05_9_",'Stavební rozpočet'!AV13:AV111)</f>
        <v>0</v>
      </c>
      <c r="K30" s="41">
        <f>SUMIF('Stavební rozpočet'!AY13:AY111,"SO05_9_",'Stavební rozpočet'!AW13:AW111)</f>
        <v>0</v>
      </c>
      <c r="L30" s="44">
        <f>SUMIF('Stavební rozpočet'!AY13:AY111,"SO05_9_",'Stavební rozpočet'!AU13:AU111)</f>
        <v>0</v>
      </c>
      <c r="M30" s="38" t="s">
        <v>107</v>
      </c>
      <c r="N30" s="40">
        <f t="shared" si="0"/>
        <v>0</v>
      </c>
      <c r="O30" s="17" t="s">
        <v>88</v>
      </c>
      <c r="P30" s="40">
        <f t="shared" si="1"/>
        <v>0</v>
      </c>
    </row>
    <row r="31" spans="1:12" ht="12.75">
      <c r="A31" s="5"/>
      <c r="B31" s="5"/>
      <c r="C31" s="5"/>
      <c r="D31" s="5"/>
      <c r="E31" s="5"/>
      <c r="F31" s="5"/>
      <c r="G31" s="5"/>
      <c r="H31" s="5"/>
      <c r="I31" s="5"/>
      <c r="J31" s="158" t="s">
        <v>81</v>
      </c>
      <c r="K31" s="132"/>
      <c r="L31" s="45">
        <f>SUM(N12:N30)</f>
        <v>0</v>
      </c>
    </row>
    <row r="32" ht="11.25" customHeight="1">
      <c r="A32" s="34" t="s">
        <v>18</v>
      </c>
    </row>
    <row r="33" spans="1:12" ht="12.75">
      <c r="A33" s="97"/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</row>
  </sheetData>
  <sheetProtection/>
  <mergeCells count="49">
    <mergeCell ref="A1:L1"/>
    <mergeCell ref="A2:C3"/>
    <mergeCell ref="D2:F3"/>
    <mergeCell ref="G2:G3"/>
    <mergeCell ref="H2:H3"/>
    <mergeCell ref="I2:I3"/>
    <mergeCell ref="J2:L3"/>
    <mergeCell ref="A4:C5"/>
    <mergeCell ref="D4:F5"/>
    <mergeCell ref="G4:G5"/>
    <mergeCell ref="H4:H5"/>
    <mergeCell ref="I4:I5"/>
    <mergeCell ref="J4:L5"/>
    <mergeCell ref="A6:C7"/>
    <mergeCell ref="D6:F7"/>
    <mergeCell ref="G6:G7"/>
    <mergeCell ref="H6:H7"/>
    <mergeCell ref="I6:I7"/>
    <mergeCell ref="J6:L7"/>
    <mergeCell ref="A8:C9"/>
    <mergeCell ref="D8:F9"/>
    <mergeCell ref="G8:G9"/>
    <mergeCell ref="H8:H9"/>
    <mergeCell ref="I8:I9"/>
    <mergeCell ref="J8:L9"/>
    <mergeCell ref="B10:I10"/>
    <mergeCell ref="J10:L10"/>
    <mergeCell ref="B11:I11"/>
    <mergeCell ref="B12:I12"/>
    <mergeCell ref="B13:I13"/>
    <mergeCell ref="B14:I14"/>
    <mergeCell ref="B15:I15"/>
    <mergeCell ref="B16:I16"/>
    <mergeCell ref="B17:I17"/>
    <mergeCell ref="B18:I18"/>
    <mergeCell ref="B19:I19"/>
    <mergeCell ref="B20:I20"/>
    <mergeCell ref="B21:I21"/>
    <mergeCell ref="B22:I22"/>
    <mergeCell ref="B23:I23"/>
    <mergeCell ref="B24:I24"/>
    <mergeCell ref="B25:I25"/>
    <mergeCell ref="B26:I26"/>
    <mergeCell ref="B27:I27"/>
    <mergeCell ref="B28:I28"/>
    <mergeCell ref="B29:I29"/>
    <mergeCell ref="B30:I30"/>
    <mergeCell ref="J31:K31"/>
    <mergeCell ref="A33:L33"/>
  </mergeCells>
  <printOptions/>
  <pageMargins left="0.394" right="0.394" top="0.591" bottom="0.591" header="0.5" footer="0.5"/>
  <pageSetup fitToHeight="0" fitToWidth="1" horizontalDpi="600" verticalDpi="600" orientation="landscape" paperSize="9" scale="8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114"/>
  <sheetViews>
    <sheetView tabSelected="1" zoomScalePageLayoutView="0" workbookViewId="0" topLeftCell="A1">
      <pane ySplit="11" topLeftCell="A12" activePane="bottomLeft" state="frozen"/>
      <selection pane="topLeft" activeCell="A1" sqref="A1"/>
      <selection pane="bottomLeft" activeCell="A1" sqref="A1:K1"/>
    </sheetView>
  </sheetViews>
  <sheetFormatPr defaultColWidth="11.57421875" defaultRowHeight="12.75"/>
  <cols>
    <col min="1" max="1" width="3.7109375" style="0" customWidth="1"/>
    <col min="2" max="2" width="14.28125" style="0" customWidth="1"/>
    <col min="3" max="3" width="71.140625" style="0" customWidth="1"/>
    <col min="4" max="5" width="11.57421875" style="0" customWidth="1"/>
    <col min="6" max="6" width="6.7109375" style="0" customWidth="1"/>
    <col min="7" max="7" width="12.8515625" style="0" customWidth="1"/>
    <col min="8" max="8" width="12.00390625" style="0" customWidth="1"/>
    <col min="9" max="11" width="14.28125" style="0" customWidth="1"/>
    <col min="12" max="23" width="11.57421875" style="0" customWidth="1"/>
    <col min="24" max="63" width="12.140625" style="0" hidden="1" customWidth="1"/>
  </cols>
  <sheetData>
    <row r="1" spans="1:11" ht="72.75" customHeight="1">
      <c r="A1" s="172" t="s">
        <v>108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</row>
    <row r="2" spans="1:12" ht="12.75">
      <c r="A2" s="129" t="s">
        <v>0</v>
      </c>
      <c r="B2" s="130"/>
      <c r="C2" s="131" t="s">
        <v>234</v>
      </c>
      <c r="D2" s="207" t="s">
        <v>77</v>
      </c>
      <c r="E2" s="130"/>
      <c r="F2" s="207" t="s">
        <v>70</v>
      </c>
      <c r="G2" s="130"/>
      <c r="H2" s="134" t="s">
        <v>32</v>
      </c>
      <c r="I2" s="207" t="s">
        <v>340</v>
      </c>
      <c r="J2" s="130"/>
      <c r="K2" s="130"/>
      <c r="L2" s="18"/>
    </row>
    <row r="3" spans="1:12" ht="12.75">
      <c r="A3" s="124"/>
      <c r="B3" s="98"/>
      <c r="C3" s="133"/>
      <c r="D3" s="98"/>
      <c r="E3" s="98"/>
      <c r="F3" s="98"/>
      <c r="G3" s="98"/>
      <c r="H3" s="98"/>
      <c r="I3" s="98"/>
      <c r="J3" s="98"/>
      <c r="K3" s="98"/>
      <c r="L3" s="18"/>
    </row>
    <row r="4" spans="1:12" ht="12.75">
      <c r="A4" s="118" t="s">
        <v>1</v>
      </c>
      <c r="B4" s="98"/>
      <c r="C4" s="97" t="s">
        <v>235</v>
      </c>
      <c r="D4" s="121" t="s">
        <v>3</v>
      </c>
      <c r="E4" s="98"/>
      <c r="F4" s="121" t="s">
        <v>70</v>
      </c>
      <c r="G4" s="98"/>
      <c r="H4" s="97" t="s">
        <v>33</v>
      </c>
      <c r="I4" s="97" t="s">
        <v>341</v>
      </c>
      <c r="J4" s="98"/>
      <c r="K4" s="98"/>
      <c r="L4" s="18"/>
    </row>
    <row r="5" spans="1:12" ht="12.75">
      <c r="A5" s="124"/>
      <c r="B5" s="98"/>
      <c r="C5" s="98"/>
      <c r="D5" s="98"/>
      <c r="E5" s="98"/>
      <c r="F5" s="98"/>
      <c r="G5" s="98"/>
      <c r="H5" s="98"/>
      <c r="I5" s="98"/>
      <c r="J5" s="98"/>
      <c r="K5" s="98"/>
      <c r="L5" s="18"/>
    </row>
    <row r="6" spans="1:12" ht="12.75">
      <c r="A6" s="118" t="s">
        <v>2</v>
      </c>
      <c r="B6" s="98"/>
      <c r="C6" s="97" t="s">
        <v>236</v>
      </c>
      <c r="D6" s="121" t="s">
        <v>35</v>
      </c>
      <c r="E6" s="98"/>
      <c r="F6" s="121" t="s">
        <v>70</v>
      </c>
      <c r="G6" s="98"/>
      <c r="H6" s="97" t="s">
        <v>34</v>
      </c>
      <c r="I6" s="121" t="s">
        <v>340</v>
      </c>
      <c r="J6" s="98"/>
      <c r="K6" s="98"/>
      <c r="L6" s="18"/>
    </row>
    <row r="7" spans="1:12" ht="12.75">
      <c r="A7" s="124"/>
      <c r="B7" s="98"/>
      <c r="C7" s="98"/>
      <c r="D7" s="98"/>
      <c r="E7" s="98"/>
      <c r="F7" s="98"/>
      <c r="G7" s="98"/>
      <c r="H7" s="98"/>
      <c r="I7" s="98"/>
      <c r="J7" s="98"/>
      <c r="K7" s="98"/>
      <c r="L7" s="18"/>
    </row>
    <row r="8" spans="1:12" ht="12.75">
      <c r="A8" s="118" t="s">
        <v>4</v>
      </c>
      <c r="B8" s="98"/>
      <c r="C8" s="97">
        <v>8015</v>
      </c>
      <c r="D8" s="121" t="s">
        <v>78</v>
      </c>
      <c r="E8" s="98"/>
      <c r="F8" s="121" t="s">
        <v>328</v>
      </c>
      <c r="G8" s="98"/>
      <c r="H8" s="97" t="s">
        <v>36</v>
      </c>
      <c r="I8" s="97" t="s">
        <v>342</v>
      </c>
      <c r="J8" s="98"/>
      <c r="K8" s="98"/>
      <c r="L8" s="18"/>
    </row>
    <row r="9" spans="1:12" ht="12.75">
      <c r="A9" s="169"/>
      <c r="B9" s="170"/>
      <c r="C9" s="170"/>
      <c r="D9" s="170"/>
      <c r="E9" s="170"/>
      <c r="F9" s="170"/>
      <c r="G9" s="170"/>
      <c r="H9" s="170"/>
      <c r="I9" s="170"/>
      <c r="J9" s="170"/>
      <c r="K9" s="170"/>
      <c r="L9" s="18"/>
    </row>
    <row r="10" spans="1:63" ht="12.75">
      <c r="A10" s="48" t="s">
        <v>109</v>
      </c>
      <c r="B10" s="54" t="s">
        <v>90</v>
      </c>
      <c r="C10" s="199" t="s">
        <v>237</v>
      </c>
      <c r="D10" s="200"/>
      <c r="E10" s="201"/>
      <c r="F10" s="54" t="s">
        <v>329</v>
      </c>
      <c r="G10" s="63" t="s">
        <v>337</v>
      </c>
      <c r="H10" s="67" t="s">
        <v>338</v>
      </c>
      <c r="I10" s="162" t="s">
        <v>79</v>
      </c>
      <c r="J10" s="163"/>
      <c r="K10" s="164"/>
      <c r="L10" s="19"/>
      <c r="BJ10" s="68" t="s">
        <v>400</v>
      </c>
      <c r="BK10" s="72" t="s">
        <v>402</v>
      </c>
    </row>
    <row r="11" spans="1:61" ht="12.75">
      <c r="A11" s="75" t="s">
        <v>70</v>
      </c>
      <c r="B11" s="76" t="s">
        <v>70</v>
      </c>
      <c r="C11" s="202" t="s">
        <v>238</v>
      </c>
      <c r="D11" s="166"/>
      <c r="E11" s="203"/>
      <c r="F11" s="76" t="s">
        <v>70</v>
      </c>
      <c r="G11" s="76" t="s">
        <v>70</v>
      </c>
      <c r="H11" s="79" t="s">
        <v>339</v>
      </c>
      <c r="I11" s="80" t="s">
        <v>80</v>
      </c>
      <c r="J11" s="81" t="s">
        <v>21</v>
      </c>
      <c r="K11" s="83" t="s">
        <v>82</v>
      </c>
      <c r="L11" s="19"/>
      <c r="Y11" s="68" t="s">
        <v>343</v>
      </c>
      <c r="Z11" s="68" t="s">
        <v>344</v>
      </c>
      <c r="AA11" s="68" t="s">
        <v>345</v>
      </c>
      <c r="AB11" s="68" t="s">
        <v>346</v>
      </c>
      <c r="AC11" s="68" t="s">
        <v>347</v>
      </c>
      <c r="AD11" s="68" t="s">
        <v>348</v>
      </c>
      <c r="AE11" s="68" t="s">
        <v>349</v>
      </c>
      <c r="AF11" s="68" t="s">
        <v>350</v>
      </c>
      <c r="AG11" s="68" t="s">
        <v>351</v>
      </c>
      <c r="BG11" s="68" t="s">
        <v>397</v>
      </c>
      <c r="BH11" s="68" t="s">
        <v>398</v>
      </c>
      <c r="BI11" s="68" t="s">
        <v>399</v>
      </c>
    </row>
    <row r="12" spans="1:12" ht="12.75">
      <c r="A12" s="77"/>
      <c r="B12" s="78"/>
      <c r="C12" s="204" t="s">
        <v>72</v>
      </c>
      <c r="D12" s="205"/>
      <c r="E12" s="206"/>
      <c r="F12" s="77" t="s">
        <v>70</v>
      </c>
      <c r="G12" s="77" t="s">
        <v>70</v>
      </c>
      <c r="H12" s="77" t="s">
        <v>70</v>
      </c>
      <c r="I12" s="82">
        <f>I13+I16+I18+I21+I24+I28+I30+I32+I35+I40+I43+I47+I49</f>
        <v>0</v>
      </c>
      <c r="J12" s="82">
        <f>J13+J16+J18+J21+J24+J28+J30+J32+J35+J40+J43+J47+J49</f>
        <v>0</v>
      </c>
      <c r="K12" s="82">
        <f>K13+K16+K18+K21+K24+K28+K30+K32+K35+K40+K43+K47+K49</f>
        <v>0</v>
      </c>
      <c r="L12" s="84"/>
    </row>
    <row r="13" spans="1:46" ht="12.75">
      <c r="A13" s="49"/>
      <c r="B13" s="55" t="s">
        <v>114</v>
      </c>
      <c r="C13" s="181" t="s">
        <v>239</v>
      </c>
      <c r="D13" s="182"/>
      <c r="E13" s="182"/>
      <c r="F13" s="61" t="s">
        <v>70</v>
      </c>
      <c r="G13" s="61" t="s">
        <v>70</v>
      </c>
      <c r="H13" s="61" t="s">
        <v>70</v>
      </c>
      <c r="I13" s="73">
        <f>SUM(I14:I15)</f>
        <v>0</v>
      </c>
      <c r="J13" s="73">
        <f>SUM(J14:J15)</f>
        <v>0</v>
      </c>
      <c r="K13" s="73">
        <f>SUM(K14:K15)</f>
        <v>0</v>
      </c>
      <c r="L13" s="18"/>
      <c r="AH13" s="68" t="s">
        <v>84</v>
      </c>
      <c r="AR13" s="73">
        <f>SUM(AI14:AI15)</f>
        <v>0</v>
      </c>
      <c r="AS13" s="73">
        <f>SUM(AJ14:AJ15)</f>
        <v>0</v>
      </c>
      <c r="AT13" s="73">
        <f>SUM(AK14:AK15)</f>
        <v>0</v>
      </c>
    </row>
    <row r="14" spans="1:63" ht="12.75">
      <c r="A14" s="50" t="s">
        <v>91</v>
      </c>
      <c r="B14" s="56" t="s">
        <v>162</v>
      </c>
      <c r="C14" s="179" t="s">
        <v>240</v>
      </c>
      <c r="D14" s="180"/>
      <c r="E14" s="180"/>
      <c r="F14" s="56" t="s">
        <v>330</v>
      </c>
      <c r="G14" s="64">
        <v>3</v>
      </c>
      <c r="H14" s="64">
        <v>0</v>
      </c>
      <c r="I14" s="64">
        <f>G14*AN14</f>
        <v>0</v>
      </c>
      <c r="J14" s="64">
        <f>G14*AO14</f>
        <v>0</v>
      </c>
      <c r="K14" s="64">
        <f>G14*H14</f>
        <v>0</v>
      </c>
      <c r="L14" s="18"/>
      <c r="Y14" s="40">
        <f>IF(AP14="5",BI14,0)</f>
        <v>0</v>
      </c>
      <c r="AA14" s="40">
        <f>IF(AP14="1",BG14,0)</f>
        <v>0</v>
      </c>
      <c r="AB14" s="40">
        <f>IF(AP14="1",BH14,0)</f>
        <v>0</v>
      </c>
      <c r="AC14" s="40">
        <f>IF(AP14="7",BG14,0)</f>
        <v>0</v>
      </c>
      <c r="AD14" s="40">
        <f>IF(AP14="7",BH14,0)</f>
        <v>0</v>
      </c>
      <c r="AE14" s="40">
        <f>IF(AP14="2",BG14,0)</f>
        <v>0</v>
      </c>
      <c r="AF14" s="40">
        <f>IF(AP14="2",BH14,0)</f>
        <v>0</v>
      </c>
      <c r="AG14" s="40">
        <f>IF(AP14="0",BI14,0)</f>
        <v>0</v>
      </c>
      <c r="AH14" s="68" t="s">
        <v>84</v>
      </c>
      <c r="AI14" s="64">
        <f>IF(AM14=0,K14,0)</f>
        <v>0</v>
      </c>
      <c r="AJ14" s="64">
        <f>IF(AM14=15,K14,0)</f>
        <v>0</v>
      </c>
      <c r="AK14" s="64">
        <f>IF(AM14=21,K14,0)</f>
        <v>0</v>
      </c>
      <c r="AM14" s="40">
        <v>21</v>
      </c>
      <c r="AN14" s="40">
        <f>H14*0</f>
        <v>0</v>
      </c>
      <c r="AO14" s="40">
        <f>H14*(1-0)</f>
        <v>0</v>
      </c>
      <c r="AP14" s="69" t="s">
        <v>91</v>
      </c>
      <c r="AU14" s="40">
        <f>AV14+AW14</f>
        <v>0</v>
      </c>
      <c r="AV14" s="40">
        <f>G14*AN14</f>
        <v>0</v>
      </c>
      <c r="AW14" s="40">
        <f>G14*AO14</f>
        <v>0</v>
      </c>
      <c r="AX14" s="71" t="s">
        <v>353</v>
      </c>
      <c r="AY14" s="71" t="s">
        <v>378</v>
      </c>
      <c r="AZ14" s="68" t="s">
        <v>392</v>
      </c>
      <c r="BB14" s="40">
        <f>AV14+AW14</f>
        <v>0</v>
      </c>
      <c r="BC14" s="40">
        <f>H14/(100-BD14)*100</f>
        <v>0</v>
      </c>
      <c r="BD14" s="40">
        <v>0</v>
      </c>
      <c r="BE14" s="40">
        <f>14</f>
        <v>14</v>
      </c>
      <c r="BG14" s="64">
        <f>G14*AN14</f>
        <v>0</v>
      </c>
      <c r="BH14" s="64">
        <f>G14*AO14</f>
        <v>0</v>
      </c>
      <c r="BI14" s="64">
        <f>G14*H14</f>
        <v>0</v>
      </c>
      <c r="BJ14" s="64" t="s">
        <v>401</v>
      </c>
      <c r="BK14" s="40">
        <v>11</v>
      </c>
    </row>
    <row r="15" spans="1:63" ht="12.75">
      <c r="A15" s="50" t="s">
        <v>92</v>
      </c>
      <c r="B15" s="56" t="s">
        <v>163</v>
      </c>
      <c r="C15" s="179" t="s">
        <v>241</v>
      </c>
      <c r="D15" s="180"/>
      <c r="E15" s="180"/>
      <c r="F15" s="56" t="s">
        <v>330</v>
      </c>
      <c r="G15" s="64">
        <v>3</v>
      </c>
      <c r="H15" s="64">
        <v>0</v>
      </c>
      <c r="I15" s="64">
        <f>G15*AN15</f>
        <v>0</v>
      </c>
      <c r="J15" s="64">
        <f>G15*AO15</f>
        <v>0</v>
      </c>
      <c r="K15" s="64">
        <f>G15*H15</f>
        <v>0</v>
      </c>
      <c r="L15" s="18"/>
      <c r="Y15" s="40">
        <f>IF(AP15="5",BI15,0)</f>
        <v>0</v>
      </c>
      <c r="AA15" s="40">
        <f>IF(AP15="1",BG15,0)</f>
        <v>0</v>
      </c>
      <c r="AB15" s="40">
        <f>IF(AP15="1",BH15,0)</f>
        <v>0</v>
      </c>
      <c r="AC15" s="40">
        <f>IF(AP15="7",BG15,0)</f>
        <v>0</v>
      </c>
      <c r="AD15" s="40">
        <f>IF(AP15="7",BH15,0)</f>
        <v>0</v>
      </c>
      <c r="AE15" s="40">
        <f>IF(AP15="2",BG15,0)</f>
        <v>0</v>
      </c>
      <c r="AF15" s="40">
        <f>IF(AP15="2",BH15,0)</f>
        <v>0</v>
      </c>
      <c r="AG15" s="40">
        <f>IF(AP15="0",BI15,0)</f>
        <v>0</v>
      </c>
      <c r="AH15" s="68" t="s">
        <v>84</v>
      </c>
      <c r="AI15" s="64">
        <f>IF(AM15=0,K15,0)</f>
        <v>0</v>
      </c>
      <c r="AJ15" s="64">
        <f>IF(AM15=15,K15,0)</f>
        <v>0</v>
      </c>
      <c r="AK15" s="64">
        <f>IF(AM15=21,K15,0)</f>
        <v>0</v>
      </c>
      <c r="AM15" s="40">
        <v>21</v>
      </c>
      <c r="AN15" s="40">
        <f>H15*0</f>
        <v>0</v>
      </c>
      <c r="AO15" s="40">
        <f>H15*(1-0)</f>
        <v>0</v>
      </c>
      <c r="AP15" s="69" t="s">
        <v>91</v>
      </c>
      <c r="AU15" s="40">
        <f>AV15+AW15</f>
        <v>0</v>
      </c>
      <c r="AV15" s="40">
        <f>G15*AN15</f>
        <v>0</v>
      </c>
      <c r="AW15" s="40">
        <f>G15*AO15</f>
        <v>0</v>
      </c>
      <c r="AX15" s="71" t="s">
        <v>353</v>
      </c>
      <c r="AY15" s="71" t="s">
        <v>378</v>
      </c>
      <c r="AZ15" s="68" t="s">
        <v>392</v>
      </c>
      <c r="BB15" s="40">
        <f>AV15+AW15</f>
        <v>0</v>
      </c>
      <c r="BC15" s="40">
        <f>H15/(100-BD15)*100</f>
        <v>0</v>
      </c>
      <c r="BD15" s="40">
        <v>0</v>
      </c>
      <c r="BE15" s="40">
        <f>15</f>
        <v>15</v>
      </c>
      <c r="BG15" s="64">
        <f>G15*AN15</f>
        <v>0</v>
      </c>
      <c r="BH15" s="64">
        <f>G15*AO15</f>
        <v>0</v>
      </c>
      <c r="BI15" s="64">
        <f>G15*H15</f>
        <v>0</v>
      </c>
      <c r="BJ15" s="64" t="s">
        <v>401</v>
      </c>
      <c r="BK15" s="40">
        <v>11</v>
      </c>
    </row>
    <row r="16" spans="1:46" ht="12.75">
      <c r="A16" s="85"/>
      <c r="B16" s="86" t="s">
        <v>164</v>
      </c>
      <c r="C16" s="193" t="s">
        <v>242</v>
      </c>
      <c r="D16" s="182"/>
      <c r="E16" s="194"/>
      <c r="F16" s="85" t="s">
        <v>70</v>
      </c>
      <c r="G16" s="85" t="s">
        <v>70</v>
      </c>
      <c r="H16" s="85" t="s">
        <v>70</v>
      </c>
      <c r="I16" s="89">
        <f>SUM(I17:I17)</f>
        <v>0</v>
      </c>
      <c r="J16" s="89">
        <f>SUM(J17:J17)</f>
        <v>0</v>
      </c>
      <c r="K16" s="89">
        <f>SUM(K17:K17)</f>
        <v>0</v>
      </c>
      <c r="L16" s="84"/>
      <c r="AH16" s="68" t="s">
        <v>84</v>
      </c>
      <c r="AR16" s="73">
        <f>SUM(AI17:AI17)</f>
        <v>0</v>
      </c>
      <c r="AS16" s="73">
        <f>SUM(AJ17:AJ17)</f>
        <v>0</v>
      </c>
      <c r="AT16" s="73">
        <f>SUM(AK17:AK17)</f>
        <v>0</v>
      </c>
    </row>
    <row r="17" spans="1:63" ht="12.75">
      <c r="A17" s="90" t="s">
        <v>110</v>
      </c>
      <c r="B17" s="90" t="s">
        <v>165</v>
      </c>
      <c r="C17" s="195" t="s">
        <v>243</v>
      </c>
      <c r="D17" s="180"/>
      <c r="E17" s="196"/>
      <c r="F17" s="90" t="s">
        <v>331</v>
      </c>
      <c r="G17" s="91">
        <v>1</v>
      </c>
      <c r="H17" s="91">
        <v>0</v>
      </c>
      <c r="I17" s="91">
        <f>G17*AN17</f>
        <v>0</v>
      </c>
      <c r="J17" s="91">
        <f>G17*AO17</f>
        <v>0</v>
      </c>
      <c r="K17" s="91">
        <f>G17*H17</f>
        <v>0</v>
      </c>
      <c r="L17" s="84"/>
      <c r="Y17" s="40">
        <f>IF(AP17="5",BI17,0)</f>
        <v>0</v>
      </c>
      <c r="AA17" s="40">
        <f>IF(AP17="1",BG17,0)</f>
        <v>0</v>
      </c>
      <c r="AB17" s="40">
        <f>IF(AP17="1",BH17,0)</f>
        <v>0</v>
      </c>
      <c r="AC17" s="40">
        <f>IF(AP17="7",BG17,0)</f>
        <v>0</v>
      </c>
      <c r="AD17" s="40">
        <f>IF(AP17="7",BH17,0)</f>
        <v>0</v>
      </c>
      <c r="AE17" s="40">
        <f>IF(AP17="2",BG17,0)</f>
        <v>0</v>
      </c>
      <c r="AF17" s="40">
        <f>IF(AP17="2",BH17,0)</f>
        <v>0</v>
      </c>
      <c r="AG17" s="40">
        <f>IF(AP17="0",BI17,0)</f>
        <v>0</v>
      </c>
      <c r="AH17" s="68" t="s">
        <v>84</v>
      </c>
      <c r="AI17" s="64">
        <f>IF(AM17=0,K17,0)</f>
        <v>0</v>
      </c>
      <c r="AJ17" s="64">
        <f>IF(AM17=15,K17,0)</f>
        <v>0</v>
      </c>
      <c r="AK17" s="64">
        <f>IF(AM17=21,K17,0)</f>
        <v>0</v>
      </c>
      <c r="AM17" s="40">
        <v>21</v>
      </c>
      <c r="AN17" s="40">
        <f>H17*0</f>
        <v>0</v>
      </c>
      <c r="AO17" s="40">
        <f>H17*(1-0)</f>
        <v>0</v>
      </c>
      <c r="AP17" s="69" t="s">
        <v>91</v>
      </c>
      <c r="AU17" s="40">
        <f>AV17+AW17</f>
        <v>0</v>
      </c>
      <c r="AV17" s="40">
        <f>G17*AN17</f>
        <v>0</v>
      </c>
      <c r="AW17" s="40">
        <f>G17*AO17</f>
        <v>0</v>
      </c>
      <c r="AX17" s="71" t="s">
        <v>354</v>
      </c>
      <c r="AY17" s="71" t="s">
        <v>378</v>
      </c>
      <c r="AZ17" s="68" t="s">
        <v>392</v>
      </c>
      <c r="BB17" s="40">
        <f>AV17+AW17</f>
        <v>0</v>
      </c>
      <c r="BC17" s="40">
        <f>H17/(100-BD17)*100</f>
        <v>0</v>
      </c>
      <c r="BD17" s="40">
        <v>0</v>
      </c>
      <c r="BE17" s="40">
        <f>17</f>
        <v>17</v>
      </c>
      <c r="BG17" s="64">
        <f>G17*AN17</f>
        <v>0</v>
      </c>
      <c r="BH17" s="64">
        <f>G17*AO17</f>
        <v>0</v>
      </c>
      <c r="BI17" s="64">
        <f>G17*H17</f>
        <v>0</v>
      </c>
      <c r="BJ17" s="64" t="s">
        <v>401</v>
      </c>
      <c r="BK17" s="40">
        <v>111</v>
      </c>
    </row>
    <row r="18" spans="1:46" ht="12.75">
      <c r="A18" s="85"/>
      <c r="B18" s="86" t="s">
        <v>115</v>
      </c>
      <c r="C18" s="193" t="s">
        <v>244</v>
      </c>
      <c r="D18" s="182"/>
      <c r="E18" s="194"/>
      <c r="F18" s="85" t="s">
        <v>70</v>
      </c>
      <c r="G18" s="85" t="s">
        <v>70</v>
      </c>
      <c r="H18" s="85" t="s">
        <v>70</v>
      </c>
      <c r="I18" s="89">
        <f>SUM(I19:I20)</f>
        <v>0</v>
      </c>
      <c r="J18" s="89">
        <f>SUM(J19:J20)</f>
        <v>0</v>
      </c>
      <c r="K18" s="89">
        <f>SUM(K19:K20)</f>
        <v>0</v>
      </c>
      <c r="L18" s="84"/>
      <c r="AH18" s="68" t="s">
        <v>84</v>
      </c>
      <c r="AR18" s="73">
        <f>SUM(AI19:AI20)</f>
        <v>0</v>
      </c>
      <c r="AS18" s="73">
        <f>SUM(AJ19:AJ20)</f>
        <v>0</v>
      </c>
      <c r="AT18" s="73">
        <f>SUM(AK19:AK20)</f>
        <v>0</v>
      </c>
    </row>
    <row r="19" spans="1:63" ht="12.75">
      <c r="A19" s="90" t="s">
        <v>96</v>
      </c>
      <c r="B19" s="90" t="s">
        <v>166</v>
      </c>
      <c r="C19" s="195" t="s">
        <v>245</v>
      </c>
      <c r="D19" s="180"/>
      <c r="E19" s="196"/>
      <c r="F19" s="90" t="s">
        <v>332</v>
      </c>
      <c r="G19" s="91">
        <v>14.9</v>
      </c>
      <c r="H19" s="91">
        <v>0</v>
      </c>
      <c r="I19" s="91">
        <f>G19*AN19</f>
        <v>0</v>
      </c>
      <c r="J19" s="91">
        <f>G19*AO19</f>
        <v>0</v>
      </c>
      <c r="K19" s="91">
        <f>G19*H19</f>
        <v>0</v>
      </c>
      <c r="L19" s="84"/>
      <c r="Y19" s="40">
        <f>IF(AP19="5",BI19,0)</f>
        <v>0</v>
      </c>
      <c r="AA19" s="40">
        <f>IF(AP19="1",BG19,0)</f>
        <v>0</v>
      </c>
      <c r="AB19" s="40">
        <f>IF(AP19="1",BH19,0)</f>
        <v>0</v>
      </c>
      <c r="AC19" s="40">
        <f>IF(AP19="7",BG19,0)</f>
        <v>0</v>
      </c>
      <c r="AD19" s="40">
        <f>IF(AP19="7",BH19,0)</f>
        <v>0</v>
      </c>
      <c r="AE19" s="40">
        <f>IF(AP19="2",BG19,0)</f>
        <v>0</v>
      </c>
      <c r="AF19" s="40">
        <f>IF(AP19="2",BH19,0)</f>
        <v>0</v>
      </c>
      <c r="AG19" s="40">
        <f>IF(AP19="0",BI19,0)</f>
        <v>0</v>
      </c>
      <c r="AH19" s="68" t="s">
        <v>84</v>
      </c>
      <c r="AI19" s="64">
        <f>IF(AM19=0,K19,0)</f>
        <v>0</v>
      </c>
      <c r="AJ19" s="64">
        <f>IF(AM19=15,K19,0)</f>
        <v>0</v>
      </c>
      <c r="AK19" s="64">
        <f>IF(AM19=21,K19,0)</f>
        <v>0</v>
      </c>
      <c r="AM19" s="40">
        <v>21</v>
      </c>
      <c r="AN19" s="40">
        <f>H19*0</f>
        <v>0</v>
      </c>
      <c r="AO19" s="40">
        <f>H19*(1-0)</f>
        <v>0</v>
      </c>
      <c r="AP19" s="69" t="s">
        <v>91</v>
      </c>
      <c r="AU19" s="40">
        <f>AV19+AW19</f>
        <v>0</v>
      </c>
      <c r="AV19" s="40">
        <f>G19*AN19</f>
        <v>0</v>
      </c>
      <c r="AW19" s="40">
        <f>G19*AO19</f>
        <v>0</v>
      </c>
      <c r="AX19" s="71" t="s">
        <v>355</v>
      </c>
      <c r="AY19" s="71" t="s">
        <v>378</v>
      </c>
      <c r="AZ19" s="68" t="s">
        <v>392</v>
      </c>
      <c r="BB19" s="40">
        <f>AV19+AW19</f>
        <v>0</v>
      </c>
      <c r="BC19" s="40">
        <f>H19/(100-BD19)*100</f>
        <v>0</v>
      </c>
      <c r="BD19" s="40">
        <v>0</v>
      </c>
      <c r="BE19" s="40">
        <f>19</f>
        <v>19</v>
      </c>
      <c r="BG19" s="64">
        <f>G19*AN19</f>
        <v>0</v>
      </c>
      <c r="BH19" s="64">
        <f>G19*AO19</f>
        <v>0</v>
      </c>
      <c r="BI19" s="64">
        <f>G19*H19</f>
        <v>0</v>
      </c>
      <c r="BJ19" s="64" t="s">
        <v>401</v>
      </c>
      <c r="BK19" s="40">
        <v>12</v>
      </c>
    </row>
    <row r="20" spans="1:63" ht="12.75">
      <c r="A20" s="90" t="s">
        <v>93</v>
      </c>
      <c r="B20" s="90" t="s">
        <v>167</v>
      </c>
      <c r="C20" s="195" t="s">
        <v>246</v>
      </c>
      <c r="D20" s="180"/>
      <c r="E20" s="196"/>
      <c r="F20" s="90" t="s">
        <v>332</v>
      </c>
      <c r="G20" s="91">
        <v>9.94</v>
      </c>
      <c r="H20" s="91">
        <v>0</v>
      </c>
      <c r="I20" s="91">
        <f>G20*AN20</f>
        <v>0</v>
      </c>
      <c r="J20" s="91">
        <f>G20*AO20</f>
        <v>0</v>
      </c>
      <c r="K20" s="91">
        <f>G20*H20</f>
        <v>0</v>
      </c>
      <c r="L20" s="84"/>
      <c r="Y20" s="40">
        <f>IF(AP20="5",BI20,0)</f>
        <v>0</v>
      </c>
      <c r="AA20" s="40">
        <f>IF(AP20="1",BG20,0)</f>
        <v>0</v>
      </c>
      <c r="AB20" s="40">
        <f>IF(AP20="1",BH20,0)</f>
        <v>0</v>
      </c>
      <c r="AC20" s="40">
        <f>IF(AP20="7",BG20,0)</f>
        <v>0</v>
      </c>
      <c r="AD20" s="40">
        <f>IF(AP20="7",BH20,0)</f>
        <v>0</v>
      </c>
      <c r="AE20" s="40">
        <f>IF(AP20="2",BG20,0)</f>
        <v>0</v>
      </c>
      <c r="AF20" s="40">
        <f>IF(AP20="2",BH20,0)</f>
        <v>0</v>
      </c>
      <c r="AG20" s="40">
        <f>IF(AP20="0",BI20,0)</f>
        <v>0</v>
      </c>
      <c r="AH20" s="68" t="s">
        <v>84</v>
      </c>
      <c r="AI20" s="64">
        <f>IF(AM20=0,K20,0)</f>
        <v>0</v>
      </c>
      <c r="AJ20" s="64">
        <f>IF(AM20=15,K20,0)</f>
        <v>0</v>
      </c>
      <c r="AK20" s="64">
        <f>IF(AM20=21,K20,0)</f>
        <v>0</v>
      </c>
      <c r="AM20" s="40">
        <v>21</v>
      </c>
      <c r="AN20" s="40">
        <f>H20*0</f>
        <v>0</v>
      </c>
      <c r="AO20" s="40">
        <f>H20*(1-0)</f>
        <v>0</v>
      </c>
      <c r="AP20" s="69" t="s">
        <v>91</v>
      </c>
      <c r="AU20" s="40">
        <f>AV20+AW20</f>
        <v>0</v>
      </c>
      <c r="AV20" s="40">
        <f>G20*AN20</f>
        <v>0</v>
      </c>
      <c r="AW20" s="40">
        <f>G20*AO20</f>
        <v>0</v>
      </c>
      <c r="AX20" s="71" t="s">
        <v>355</v>
      </c>
      <c r="AY20" s="71" t="s">
        <v>378</v>
      </c>
      <c r="AZ20" s="68" t="s">
        <v>392</v>
      </c>
      <c r="BB20" s="40">
        <f>AV20+AW20</f>
        <v>0</v>
      </c>
      <c r="BC20" s="40">
        <f>H20/(100-BD20)*100</f>
        <v>0</v>
      </c>
      <c r="BD20" s="40">
        <v>0</v>
      </c>
      <c r="BE20" s="40">
        <f>20</f>
        <v>20</v>
      </c>
      <c r="BG20" s="64">
        <f>G20*AN20</f>
        <v>0</v>
      </c>
      <c r="BH20" s="64">
        <f>G20*AO20</f>
        <v>0</v>
      </c>
      <c r="BI20" s="64">
        <f>G20*H20</f>
        <v>0</v>
      </c>
      <c r="BJ20" s="64" t="s">
        <v>401</v>
      </c>
      <c r="BK20" s="40">
        <v>12</v>
      </c>
    </row>
    <row r="21" spans="1:46" ht="12.75">
      <c r="A21" s="85"/>
      <c r="B21" s="86" t="s">
        <v>116</v>
      </c>
      <c r="C21" s="193" t="s">
        <v>247</v>
      </c>
      <c r="D21" s="182"/>
      <c r="E21" s="194"/>
      <c r="F21" s="85" t="s">
        <v>70</v>
      </c>
      <c r="G21" s="85" t="s">
        <v>70</v>
      </c>
      <c r="H21" s="85" t="s">
        <v>70</v>
      </c>
      <c r="I21" s="89">
        <f>SUM(I22:I23)</f>
        <v>0</v>
      </c>
      <c r="J21" s="89">
        <f>SUM(J22:J23)</f>
        <v>0</v>
      </c>
      <c r="K21" s="89">
        <f>SUM(K22:K23)</f>
        <v>0</v>
      </c>
      <c r="L21" s="84"/>
      <c r="AH21" s="68" t="s">
        <v>84</v>
      </c>
      <c r="AR21" s="73">
        <f>SUM(AI22:AI23)</f>
        <v>0</v>
      </c>
      <c r="AS21" s="73">
        <f>SUM(AJ22:AJ23)</f>
        <v>0</v>
      </c>
      <c r="AT21" s="73">
        <f>SUM(AK22:AK23)</f>
        <v>0</v>
      </c>
    </row>
    <row r="22" spans="1:63" ht="12.75">
      <c r="A22" s="90" t="s">
        <v>111</v>
      </c>
      <c r="B22" s="90" t="s">
        <v>168</v>
      </c>
      <c r="C22" s="195" t="s">
        <v>248</v>
      </c>
      <c r="D22" s="180"/>
      <c r="E22" s="196"/>
      <c r="F22" s="90" t="s">
        <v>332</v>
      </c>
      <c r="G22" s="91">
        <v>1.3</v>
      </c>
      <c r="H22" s="91">
        <v>0</v>
      </c>
      <c r="I22" s="91">
        <f>G22*AN22</f>
        <v>0</v>
      </c>
      <c r="J22" s="91">
        <f>G22*AO22</f>
        <v>0</v>
      </c>
      <c r="K22" s="91">
        <f>G22*H22</f>
        <v>0</v>
      </c>
      <c r="L22" s="84"/>
      <c r="Y22" s="40">
        <f>IF(AP22="5",BI22,0)</f>
        <v>0</v>
      </c>
      <c r="AA22" s="40">
        <f>IF(AP22="1",BG22,0)</f>
        <v>0</v>
      </c>
      <c r="AB22" s="40">
        <f>IF(AP22="1",BH22,0)</f>
        <v>0</v>
      </c>
      <c r="AC22" s="40">
        <f>IF(AP22="7",BG22,0)</f>
        <v>0</v>
      </c>
      <c r="AD22" s="40">
        <f>IF(AP22="7",BH22,0)</f>
        <v>0</v>
      </c>
      <c r="AE22" s="40">
        <f>IF(AP22="2",BG22,0)</f>
        <v>0</v>
      </c>
      <c r="AF22" s="40">
        <f>IF(AP22="2",BH22,0)</f>
        <v>0</v>
      </c>
      <c r="AG22" s="40">
        <f>IF(AP22="0",BI22,0)</f>
        <v>0</v>
      </c>
      <c r="AH22" s="68" t="s">
        <v>84</v>
      </c>
      <c r="AI22" s="64">
        <f>IF(AM22=0,K22,0)</f>
        <v>0</v>
      </c>
      <c r="AJ22" s="64">
        <f>IF(AM22=15,K22,0)</f>
        <v>0</v>
      </c>
      <c r="AK22" s="64">
        <f>IF(AM22=21,K22,0)</f>
        <v>0</v>
      </c>
      <c r="AM22" s="40">
        <v>21</v>
      </c>
      <c r="AN22" s="40">
        <f>H22*0</f>
        <v>0</v>
      </c>
      <c r="AO22" s="40">
        <f>H22*(1-0)</f>
        <v>0</v>
      </c>
      <c r="AP22" s="69" t="s">
        <v>91</v>
      </c>
      <c r="AU22" s="40">
        <f>AV22+AW22</f>
        <v>0</v>
      </c>
      <c r="AV22" s="40">
        <f>G22*AN22</f>
        <v>0</v>
      </c>
      <c r="AW22" s="40">
        <f>G22*AO22</f>
        <v>0</v>
      </c>
      <c r="AX22" s="71" t="s">
        <v>356</v>
      </c>
      <c r="AY22" s="71" t="s">
        <v>378</v>
      </c>
      <c r="AZ22" s="68" t="s">
        <v>392</v>
      </c>
      <c r="BB22" s="40">
        <f>AV22+AW22</f>
        <v>0</v>
      </c>
      <c r="BC22" s="40">
        <f>H22/(100-BD22)*100</f>
        <v>0</v>
      </c>
      <c r="BD22" s="40">
        <v>0</v>
      </c>
      <c r="BE22" s="40">
        <f>22</f>
        <v>22</v>
      </c>
      <c r="BG22" s="64">
        <f>G22*AN22</f>
        <v>0</v>
      </c>
      <c r="BH22" s="64">
        <f>G22*AO22</f>
        <v>0</v>
      </c>
      <c r="BI22" s="64">
        <f>G22*H22</f>
        <v>0</v>
      </c>
      <c r="BJ22" s="64" t="s">
        <v>401</v>
      </c>
      <c r="BK22" s="40">
        <v>13</v>
      </c>
    </row>
    <row r="23" spans="1:63" ht="12.75">
      <c r="A23" s="90" t="s">
        <v>112</v>
      </c>
      <c r="B23" s="90" t="s">
        <v>169</v>
      </c>
      <c r="C23" s="195" t="s">
        <v>249</v>
      </c>
      <c r="D23" s="180"/>
      <c r="E23" s="196"/>
      <c r="F23" s="90" t="s">
        <v>332</v>
      </c>
      <c r="G23" s="91">
        <v>0.43</v>
      </c>
      <c r="H23" s="91">
        <v>0</v>
      </c>
      <c r="I23" s="91">
        <f>G23*AN23</f>
        <v>0</v>
      </c>
      <c r="J23" s="91">
        <f>G23*AO23</f>
        <v>0</v>
      </c>
      <c r="K23" s="91">
        <f>G23*H23</f>
        <v>0</v>
      </c>
      <c r="L23" s="84"/>
      <c r="Y23" s="40">
        <f>IF(AP23="5",BI23,0)</f>
        <v>0</v>
      </c>
      <c r="AA23" s="40">
        <f>IF(AP23="1",BG23,0)</f>
        <v>0</v>
      </c>
      <c r="AB23" s="40">
        <f>IF(AP23="1",BH23,0)</f>
        <v>0</v>
      </c>
      <c r="AC23" s="40">
        <f>IF(AP23="7",BG23,0)</f>
        <v>0</v>
      </c>
      <c r="AD23" s="40">
        <f>IF(AP23="7",BH23,0)</f>
        <v>0</v>
      </c>
      <c r="AE23" s="40">
        <f>IF(AP23="2",BG23,0)</f>
        <v>0</v>
      </c>
      <c r="AF23" s="40">
        <f>IF(AP23="2",BH23,0)</f>
        <v>0</v>
      </c>
      <c r="AG23" s="40">
        <f>IF(AP23="0",BI23,0)</f>
        <v>0</v>
      </c>
      <c r="AH23" s="68" t="s">
        <v>84</v>
      </c>
      <c r="AI23" s="64">
        <f>IF(AM23=0,K23,0)</f>
        <v>0</v>
      </c>
      <c r="AJ23" s="64">
        <f>IF(AM23=15,K23,0)</f>
        <v>0</v>
      </c>
      <c r="AK23" s="64">
        <f>IF(AM23=21,K23,0)</f>
        <v>0</v>
      </c>
      <c r="AM23" s="40">
        <v>21</v>
      </c>
      <c r="AN23" s="40">
        <f>H23*0</f>
        <v>0</v>
      </c>
      <c r="AO23" s="40">
        <f>H23*(1-0)</f>
        <v>0</v>
      </c>
      <c r="AP23" s="69" t="s">
        <v>91</v>
      </c>
      <c r="AU23" s="40">
        <f>AV23+AW23</f>
        <v>0</v>
      </c>
      <c r="AV23" s="40">
        <f>G23*AN23</f>
        <v>0</v>
      </c>
      <c r="AW23" s="40">
        <f>G23*AO23</f>
        <v>0</v>
      </c>
      <c r="AX23" s="71" t="s">
        <v>356</v>
      </c>
      <c r="AY23" s="71" t="s">
        <v>378</v>
      </c>
      <c r="AZ23" s="68" t="s">
        <v>392</v>
      </c>
      <c r="BB23" s="40">
        <f>AV23+AW23</f>
        <v>0</v>
      </c>
      <c r="BC23" s="40">
        <f>H23/(100-BD23)*100</f>
        <v>0</v>
      </c>
      <c r="BD23" s="40">
        <v>0</v>
      </c>
      <c r="BE23" s="40">
        <f>23</f>
        <v>23</v>
      </c>
      <c r="BG23" s="64">
        <f>G23*AN23</f>
        <v>0</v>
      </c>
      <c r="BH23" s="64">
        <f>G23*AO23</f>
        <v>0</v>
      </c>
      <c r="BI23" s="64">
        <f>G23*H23</f>
        <v>0</v>
      </c>
      <c r="BJ23" s="64" t="s">
        <v>401</v>
      </c>
      <c r="BK23" s="40">
        <v>13</v>
      </c>
    </row>
    <row r="24" spans="1:46" ht="12.75">
      <c r="A24" s="85"/>
      <c r="B24" s="86" t="s">
        <v>119</v>
      </c>
      <c r="C24" s="193" t="s">
        <v>250</v>
      </c>
      <c r="D24" s="182"/>
      <c r="E24" s="194"/>
      <c r="F24" s="85" t="s">
        <v>70</v>
      </c>
      <c r="G24" s="85" t="s">
        <v>70</v>
      </c>
      <c r="H24" s="85" t="s">
        <v>70</v>
      </c>
      <c r="I24" s="89">
        <f>SUM(I25:I27)</f>
        <v>0</v>
      </c>
      <c r="J24" s="89">
        <f>SUM(J25:J27)</f>
        <v>0</v>
      </c>
      <c r="K24" s="89">
        <f>SUM(K25:K27)</f>
        <v>0</v>
      </c>
      <c r="L24" s="84"/>
      <c r="AH24" s="68" t="s">
        <v>84</v>
      </c>
      <c r="AR24" s="73">
        <f>SUM(AI25:AI27)</f>
        <v>0</v>
      </c>
      <c r="AS24" s="73">
        <f>SUM(AJ25:AJ27)</f>
        <v>0</v>
      </c>
      <c r="AT24" s="73">
        <f>SUM(AK25:AK27)</f>
        <v>0</v>
      </c>
    </row>
    <row r="25" spans="1:63" ht="12.75">
      <c r="A25" s="90" t="s">
        <v>98</v>
      </c>
      <c r="B25" s="90" t="s">
        <v>170</v>
      </c>
      <c r="C25" s="195" t="s">
        <v>251</v>
      </c>
      <c r="D25" s="180"/>
      <c r="E25" s="196"/>
      <c r="F25" s="90" t="s">
        <v>332</v>
      </c>
      <c r="G25" s="91">
        <v>26.14</v>
      </c>
      <c r="H25" s="91">
        <v>0</v>
      </c>
      <c r="I25" s="91">
        <f>G25*AN25</f>
        <v>0</v>
      </c>
      <c r="J25" s="91">
        <f>G25*AO25</f>
        <v>0</v>
      </c>
      <c r="K25" s="91">
        <f>G25*H25</f>
        <v>0</v>
      </c>
      <c r="L25" s="84"/>
      <c r="Y25" s="40">
        <f>IF(AP25="5",BI25,0)</f>
        <v>0</v>
      </c>
      <c r="AA25" s="40">
        <f>IF(AP25="1",BG25,0)</f>
        <v>0</v>
      </c>
      <c r="AB25" s="40">
        <f>IF(AP25="1",BH25,0)</f>
        <v>0</v>
      </c>
      <c r="AC25" s="40">
        <f>IF(AP25="7",BG25,0)</f>
        <v>0</v>
      </c>
      <c r="AD25" s="40">
        <f>IF(AP25="7",BH25,0)</f>
        <v>0</v>
      </c>
      <c r="AE25" s="40">
        <f>IF(AP25="2",BG25,0)</f>
        <v>0</v>
      </c>
      <c r="AF25" s="40">
        <f>IF(AP25="2",BH25,0)</f>
        <v>0</v>
      </c>
      <c r="AG25" s="40">
        <f>IF(AP25="0",BI25,0)</f>
        <v>0</v>
      </c>
      <c r="AH25" s="68" t="s">
        <v>84</v>
      </c>
      <c r="AI25" s="64">
        <f>IF(AM25=0,K25,0)</f>
        <v>0</v>
      </c>
      <c r="AJ25" s="64">
        <f>IF(AM25=15,K25,0)</f>
        <v>0</v>
      </c>
      <c r="AK25" s="64">
        <f>IF(AM25=21,K25,0)</f>
        <v>0</v>
      </c>
      <c r="AM25" s="40">
        <v>21</v>
      </c>
      <c r="AN25" s="40">
        <f>H25*0</f>
        <v>0</v>
      </c>
      <c r="AO25" s="40">
        <f>H25*(1-0)</f>
        <v>0</v>
      </c>
      <c r="AP25" s="69" t="s">
        <v>91</v>
      </c>
      <c r="AU25" s="40">
        <f>AV25+AW25</f>
        <v>0</v>
      </c>
      <c r="AV25" s="40">
        <f>G25*AN25</f>
        <v>0</v>
      </c>
      <c r="AW25" s="40">
        <f>G25*AO25</f>
        <v>0</v>
      </c>
      <c r="AX25" s="71" t="s">
        <v>357</v>
      </c>
      <c r="AY25" s="71" t="s">
        <v>378</v>
      </c>
      <c r="AZ25" s="68" t="s">
        <v>392</v>
      </c>
      <c r="BB25" s="40">
        <f>AV25+AW25</f>
        <v>0</v>
      </c>
      <c r="BC25" s="40">
        <f>H25/(100-BD25)*100</f>
        <v>0</v>
      </c>
      <c r="BD25" s="40">
        <v>0</v>
      </c>
      <c r="BE25" s="40">
        <f>25</f>
        <v>25</v>
      </c>
      <c r="BG25" s="64">
        <f>G25*AN25</f>
        <v>0</v>
      </c>
      <c r="BH25" s="64">
        <f>G25*AO25</f>
        <v>0</v>
      </c>
      <c r="BI25" s="64">
        <f>G25*H25</f>
        <v>0</v>
      </c>
      <c r="BJ25" s="64" t="s">
        <v>401</v>
      </c>
      <c r="BK25" s="40">
        <v>16</v>
      </c>
    </row>
    <row r="26" spans="1:63" ht="12.75">
      <c r="A26" s="90" t="s">
        <v>94</v>
      </c>
      <c r="B26" s="90" t="s">
        <v>171</v>
      </c>
      <c r="C26" s="195" t="s">
        <v>252</v>
      </c>
      <c r="D26" s="180"/>
      <c r="E26" s="196"/>
      <c r="F26" s="90" t="s">
        <v>332</v>
      </c>
      <c r="G26" s="91">
        <v>14.9</v>
      </c>
      <c r="H26" s="91">
        <v>0</v>
      </c>
      <c r="I26" s="91">
        <f>G26*AN26</f>
        <v>0</v>
      </c>
      <c r="J26" s="91">
        <f>G26*AO26</f>
        <v>0</v>
      </c>
      <c r="K26" s="91">
        <f>G26*H26</f>
        <v>0</v>
      </c>
      <c r="L26" s="84"/>
      <c r="Y26" s="40">
        <f>IF(AP26="5",BI26,0)</f>
        <v>0</v>
      </c>
      <c r="AA26" s="40">
        <f>IF(AP26="1",BG26,0)</f>
        <v>0</v>
      </c>
      <c r="AB26" s="40">
        <f>IF(AP26="1",BH26,0)</f>
        <v>0</v>
      </c>
      <c r="AC26" s="40">
        <f>IF(AP26="7",BG26,0)</f>
        <v>0</v>
      </c>
      <c r="AD26" s="40">
        <f>IF(AP26="7",BH26,0)</f>
        <v>0</v>
      </c>
      <c r="AE26" s="40">
        <f>IF(AP26="2",BG26,0)</f>
        <v>0</v>
      </c>
      <c r="AF26" s="40">
        <f>IF(AP26="2",BH26,0)</f>
        <v>0</v>
      </c>
      <c r="AG26" s="40">
        <f>IF(AP26="0",BI26,0)</f>
        <v>0</v>
      </c>
      <c r="AH26" s="68" t="s">
        <v>84</v>
      </c>
      <c r="AI26" s="64">
        <f>IF(AM26=0,K26,0)</f>
        <v>0</v>
      </c>
      <c r="AJ26" s="64">
        <f>IF(AM26=15,K26,0)</f>
        <v>0</v>
      </c>
      <c r="AK26" s="64">
        <f>IF(AM26=21,K26,0)</f>
        <v>0</v>
      </c>
      <c r="AM26" s="40">
        <v>21</v>
      </c>
      <c r="AN26" s="40">
        <f>H26*0</f>
        <v>0</v>
      </c>
      <c r="AO26" s="40">
        <f>H26*(1-0)</f>
        <v>0</v>
      </c>
      <c r="AP26" s="69" t="s">
        <v>91</v>
      </c>
      <c r="AU26" s="40">
        <f>AV26+AW26</f>
        <v>0</v>
      </c>
      <c r="AV26" s="40">
        <f>G26*AN26</f>
        <v>0</v>
      </c>
      <c r="AW26" s="40">
        <f>G26*AO26</f>
        <v>0</v>
      </c>
      <c r="AX26" s="71" t="s">
        <v>357</v>
      </c>
      <c r="AY26" s="71" t="s">
        <v>378</v>
      </c>
      <c r="AZ26" s="68" t="s">
        <v>392</v>
      </c>
      <c r="BB26" s="40">
        <f>AV26+AW26</f>
        <v>0</v>
      </c>
      <c r="BC26" s="40">
        <f>H26/(100-BD26)*100</f>
        <v>0</v>
      </c>
      <c r="BD26" s="40">
        <v>0</v>
      </c>
      <c r="BE26" s="40">
        <f>26</f>
        <v>26</v>
      </c>
      <c r="BG26" s="64">
        <f>G26*AN26</f>
        <v>0</v>
      </c>
      <c r="BH26" s="64">
        <f>G26*AO26</f>
        <v>0</v>
      </c>
      <c r="BI26" s="64">
        <f>G26*H26</f>
        <v>0</v>
      </c>
      <c r="BJ26" s="64" t="s">
        <v>401</v>
      </c>
      <c r="BK26" s="40">
        <v>16</v>
      </c>
    </row>
    <row r="27" spans="1:63" ht="12.75">
      <c r="A27" s="90" t="s">
        <v>113</v>
      </c>
      <c r="B27" s="90" t="s">
        <v>172</v>
      </c>
      <c r="C27" s="195" t="s">
        <v>253</v>
      </c>
      <c r="D27" s="180"/>
      <c r="E27" s="196"/>
      <c r="F27" s="90" t="s">
        <v>332</v>
      </c>
      <c r="G27" s="91">
        <v>11.24</v>
      </c>
      <c r="H27" s="91">
        <v>0</v>
      </c>
      <c r="I27" s="91">
        <f>G27*AN27</f>
        <v>0</v>
      </c>
      <c r="J27" s="91">
        <f>G27*AO27</f>
        <v>0</v>
      </c>
      <c r="K27" s="91">
        <f>G27*H27</f>
        <v>0</v>
      </c>
      <c r="L27" s="84"/>
      <c r="Y27" s="40">
        <f>IF(AP27="5",BI27,0)</f>
        <v>0</v>
      </c>
      <c r="AA27" s="40">
        <f>IF(AP27="1",BG27,0)</f>
        <v>0</v>
      </c>
      <c r="AB27" s="40">
        <f>IF(AP27="1",BH27,0)</f>
        <v>0</v>
      </c>
      <c r="AC27" s="40">
        <f>IF(AP27="7",BG27,0)</f>
        <v>0</v>
      </c>
      <c r="AD27" s="40">
        <f>IF(AP27="7",BH27,0)</f>
        <v>0</v>
      </c>
      <c r="AE27" s="40">
        <f>IF(AP27="2",BG27,0)</f>
        <v>0</v>
      </c>
      <c r="AF27" s="40">
        <f>IF(AP27="2",BH27,0)</f>
        <v>0</v>
      </c>
      <c r="AG27" s="40">
        <f>IF(AP27="0",BI27,0)</f>
        <v>0</v>
      </c>
      <c r="AH27" s="68" t="s">
        <v>84</v>
      </c>
      <c r="AI27" s="64">
        <f>IF(AM27=0,K27,0)</f>
        <v>0</v>
      </c>
      <c r="AJ27" s="64">
        <f>IF(AM27=15,K27,0)</f>
        <v>0</v>
      </c>
      <c r="AK27" s="64">
        <f>IF(AM27=21,K27,0)</f>
        <v>0</v>
      </c>
      <c r="AM27" s="40">
        <v>21</v>
      </c>
      <c r="AN27" s="40">
        <f>H27*0</f>
        <v>0</v>
      </c>
      <c r="AO27" s="40">
        <f>H27*(1-0)</f>
        <v>0</v>
      </c>
      <c r="AP27" s="69" t="s">
        <v>91</v>
      </c>
      <c r="AU27" s="40">
        <f>AV27+AW27</f>
        <v>0</v>
      </c>
      <c r="AV27" s="40">
        <f>G27*AN27</f>
        <v>0</v>
      </c>
      <c r="AW27" s="40">
        <f>G27*AO27</f>
        <v>0</v>
      </c>
      <c r="AX27" s="71" t="s">
        <v>357</v>
      </c>
      <c r="AY27" s="71" t="s">
        <v>378</v>
      </c>
      <c r="AZ27" s="68" t="s">
        <v>392</v>
      </c>
      <c r="BB27" s="40">
        <f>AV27+AW27</f>
        <v>0</v>
      </c>
      <c r="BC27" s="40">
        <f>H27/(100-BD27)*100</f>
        <v>0</v>
      </c>
      <c r="BD27" s="40">
        <v>0</v>
      </c>
      <c r="BE27" s="40">
        <f>27</f>
        <v>27</v>
      </c>
      <c r="BG27" s="64">
        <f>G27*AN27</f>
        <v>0</v>
      </c>
      <c r="BH27" s="64">
        <f>G27*AO27</f>
        <v>0</v>
      </c>
      <c r="BI27" s="64">
        <f>G27*H27</f>
        <v>0</v>
      </c>
      <c r="BJ27" s="64" t="s">
        <v>401</v>
      </c>
      <c r="BK27" s="40">
        <v>16</v>
      </c>
    </row>
    <row r="28" spans="1:46" ht="12.75">
      <c r="A28" s="85"/>
      <c r="B28" s="86" t="s">
        <v>120</v>
      </c>
      <c r="C28" s="193" t="s">
        <v>254</v>
      </c>
      <c r="D28" s="182"/>
      <c r="E28" s="194"/>
      <c r="F28" s="85" t="s">
        <v>70</v>
      </c>
      <c r="G28" s="85" t="s">
        <v>70</v>
      </c>
      <c r="H28" s="85" t="s">
        <v>70</v>
      </c>
      <c r="I28" s="89">
        <f>SUM(I29:I29)</f>
        <v>0</v>
      </c>
      <c r="J28" s="89">
        <f>SUM(J29:J29)</f>
        <v>0</v>
      </c>
      <c r="K28" s="89">
        <f>SUM(K29:K29)</f>
        <v>0</v>
      </c>
      <c r="L28" s="84"/>
      <c r="AH28" s="68" t="s">
        <v>84</v>
      </c>
      <c r="AR28" s="73">
        <f>SUM(AI29:AI29)</f>
        <v>0</v>
      </c>
      <c r="AS28" s="73">
        <f>SUM(AJ29:AJ29)</f>
        <v>0</v>
      </c>
      <c r="AT28" s="73">
        <f>SUM(AK29:AK29)</f>
        <v>0</v>
      </c>
    </row>
    <row r="29" spans="1:63" ht="12.75">
      <c r="A29" s="90" t="s">
        <v>114</v>
      </c>
      <c r="B29" s="90" t="s">
        <v>173</v>
      </c>
      <c r="C29" s="195" t="s">
        <v>255</v>
      </c>
      <c r="D29" s="180"/>
      <c r="E29" s="196"/>
      <c r="F29" s="90" t="s">
        <v>332</v>
      </c>
      <c r="G29" s="91">
        <v>26.14</v>
      </c>
      <c r="H29" s="91">
        <v>0</v>
      </c>
      <c r="I29" s="91">
        <f>G29*AN29</f>
        <v>0</v>
      </c>
      <c r="J29" s="91">
        <f>G29*AO29</f>
        <v>0</v>
      </c>
      <c r="K29" s="91">
        <f>G29*H29</f>
        <v>0</v>
      </c>
      <c r="L29" s="84"/>
      <c r="Y29" s="40">
        <f>IF(AP29="5",BI29,0)</f>
        <v>0</v>
      </c>
      <c r="AA29" s="40">
        <f>IF(AP29="1",BG29,0)</f>
        <v>0</v>
      </c>
      <c r="AB29" s="40">
        <f>IF(AP29="1",BH29,0)</f>
        <v>0</v>
      </c>
      <c r="AC29" s="40">
        <f>IF(AP29="7",BG29,0)</f>
        <v>0</v>
      </c>
      <c r="AD29" s="40">
        <f>IF(AP29="7",BH29,0)</f>
        <v>0</v>
      </c>
      <c r="AE29" s="40">
        <f>IF(AP29="2",BG29,0)</f>
        <v>0</v>
      </c>
      <c r="AF29" s="40">
        <f>IF(AP29="2",BH29,0)</f>
        <v>0</v>
      </c>
      <c r="AG29" s="40">
        <f>IF(AP29="0",BI29,0)</f>
        <v>0</v>
      </c>
      <c r="AH29" s="68" t="s">
        <v>84</v>
      </c>
      <c r="AI29" s="64">
        <f>IF(AM29=0,K29,0)</f>
        <v>0</v>
      </c>
      <c r="AJ29" s="64">
        <f>IF(AM29=15,K29,0)</f>
        <v>0</v>
      </c>
      <c r="AK29" s="64">
        <f>IF(AM29=21,K29,0)</f>
        <v>0</v>
      </c>
      <c r="AM29" s="40">
        <v>21</v>
      </c>
      <c r="AN29" s="40">
        <f>H29*0</f>
        <v>0</v>
      </c>
      <c r="AO29" s="40">
        <f>H29*(1-0)</f>
        <v>0</v>
      </c>
      <c r="AP29" s="69" t="s">
        <v>91</v>
      </c>
      <c r="AU29" s="40">
        <f>AV29+AW29</f>
        <v>0</v>
      </c>
      <c r="AV29" s="40">
        <f>G29*AN29</f>
        <v>0</v>
      </c>
      <c r="AW29" s="40">
        <f>G29*AO29</f>
        <v>0</v>
      </c>
      <c r="AX29" s="71" t="s">
        <v>358</v>
      </c>
      <c r="AY29" s="71" t="s">
        <v>378</v>
      </c>
      <c r="AZ29" s="68" t="s">
        <v>392</v>
      </c>
      <c r="BB29" s="40">
        <f>AV29+AW29</f>
        <v>0</v>
      </c>
      <c r="BC29" s="40">
        <f>H29/(100-BD29)*100</f>
        <v>0</v>
      </c>
      <c r="BD29" s="40">
        <v>0</v>
      </c>
      <c r="BE29" s="40">
        <f>29</f>
        <v>29</v>
      </c>
      <c r="BG29" s="64">
        <f>G29*AN29</f>
        <v>0</v>
      </c>
      <c r="BH29" s="64">
        <f>G29*AO29</f>
        <v>0</v>
      </c>
      <c r="BI29" s="64">
        <f>G29*H29</f>
        <v>0</v>
      </c>
      <c r="BJ29" s="64" t="s">
        <v>401</v>
      </c>
      <c r="BK29" s="40">
        <v>17</v>
      </c>
    </row>
    <row r="30" spans="1:46" ht="12.75">
      <c r="A30" s="85"/>
      <c r="B30" s="86" t="s">
        <v>121</v>
      </c>
      <c r="C30" s="193" t="s">
        <v>256</v>
      </c>
      <c r="D30" s="182"/>
      <c r="E30" s="194"/>
      <c r="F30" s="85" t="s">
        <v>70</v>
      </c>
      <c r="G30" s="85" t="s">
        <v>70</v>
      </c>
      <c r="H30" s="85" t="s">
        <v>70</v>
      </c>
      <c r="I30" s="89">
        <f>SUM(I31:I31)</f>
        <v>0</v>
      </c>
      <c r="J30" s="89">
        <f>SUM(J31:J31)</f>
        <v>0</v>
      </c>
      <c r="K30" s="89">
        <f>SUM(K31:K31)</f>
        <v>0</v>
      </c>
      <c r="L30" s="84"/>
      <c r="AH30" s="68" t="s">
        <v>84</v>
      </c>
      <c r="AR30" s="73">
        <f>SUM(AI31:AI31)</f>
        <v>0</v>
      </c>
      <c r="AS30" s="73">
        <f>SUM(AJ31:AJ31)</f>
        <v>0</v>
      </c>
      <c r="AT30" s="73">
        <f>SUM(AK31:AK31)</f>
        <v>0</v>
      </c>
    </row>
    <row r="31" spans="1:63" ht="12.75">
      <c r="A31" s="90" t="s">
        <v>115</v>
      </c>
      <c r="B31" s="90" t="s">
        <v>174</v>
      </c>
      <c r="C31" s="195" t="s">
        <v>257</v>
      </c>
      <c r="D31" s="180"/>
      <c r="E31" s="196"/>
      <c r="F31" s="90" t="s">
        <v>330</v>
      </c>
      <c r="G31" s="91">
        <v>50</v>
      </c>
      <c r="H31" s="91">
        <v>0</v>
      </c>
      <c r="I31" s="91">
        <f>G31*AN31</f>
        <v>0</v>
      </c>
      <c r="J31" s="91">
        <f>G31*AO31</f>
        <v>0</v>
      </c>
      <c r="K31" s="91">
        <f>G31*H31</f>
        <v>0</v>
      </c>
      <c r="L31" s="84"/>
      <c r="Y31" s="40">
        <f>IF(AP31="5",BI31,0)</f>
        <v>0</v>
      </c>
      <c r="AA31" s="40">
        <f>IF(AP31="1",BG31,0)</f>
        <v>0</v>
      </c>
      <c r="AB31" s="40">
        <f>IF(AP31="1",BH31,0)</f>
        <v>0</v>
      </c>
      <c r="AC31" s="40">
        <f>IF(AP31="7",BG31,0)</f>
        <v>0</v>
      </c>
      <c r="AD31" s="40">
        <f>IF(AP31="7",BH31,0)</f>
        <v>0</v>
      </c>
      <c r="AE31" s="40">
        <f>IF(AP31="2",BG31,0)</f>
        <v>0</v>
      </c>
      <c r="AF31" s="40">
        <f>IF(AP31="2",BH31,0)</f>
        <v>0</v>
      </c>
      <c r="AG31" s="40">
        <f>IF(AP31="0",BI31,0)</f>
        <v>0</v>
      </c>
      <c r="AH31" s="68" t="s">
        <v>84</v>
      </c>
      <c r="AI31" s="64">
        <f>IF(AM31=0,K31,0)</f>
        <v>0</v>
      </c>
      <c r="AJ31" s="64">
        <f>IF(AM31=15,K31,0)</f>
        <v>0</v>
      </c>
      <c r="AK31" s="64">
        <f>IF(AM31=21,K31,0)</f>
        <v>0</v>
      </c>
      <c r="AM31" s="40">
        <v>21</v>
      </c>
      <c r="AN31" s="40">
        <f>H31*0</f>
        <v>0</v>
      </c>
      <c r="AO31" s="40">
        <f>H31*(1-0)</f>
        <v>0</v>
      </c>
      <c r="AP31" s="69" t="s">
        <v>91</v>
      </c>
      <c r="AU31" s="40">
        <f>AV31+AW31</f>
        <v>0</v>
      </c>
      <c r="AV31" s="40">
        <f>G31*AN31</f>
        <v>0</v>
      </c>
      <c r="AW31" s="40">
        <f>G31*AO31</f>
        <v>0</v>
      </c>
      <c r="AX31" s="71" t="s">
        <v>359</v>
      </c>
      <c r="AY31" s="71" t="s">
        <v>378</v>
      </c>
      <c r="AZ31" s="68" t="s">
        <v>392</v>
      </c>
      <c r="BB31" s="40">
        <f>AV31+AW31</f>
        <v>0</v>
      </c>
      <c r="BC31" s="40">
        <f>H31/(100-BD31)*100</f>
        <v>0</v>
      </c>
      <c r="BD31" s="40">
        <v>0</v>
      </c>
      <c r="BE31" s="40">
        <f>31</f>
        <v>31</v>
      </c>
      <c r="BG31" s="64">
        <f>G31*AN31</f>
        <v>0</v>
      </c>
      <c r="BH31" s="64">
        <f>G31*AO31</f>
        <v>0</v>
      </c>
      <c r="BI31" s="64">
        <f>G31*H31</f>
        <v>0</v>
      </c>
      <c r="BJ31" s="64" t="s">
        <v>401</v>
      </c>
      <c r="BK31" s="40">
        <v>18</v>
      </c>
    </row>
    <row r="32" spans="1:46" ht="12.75">
      <c r="A32" s="85"/>
      <c r="B32" s="86" t="s">
        <v>131</v>
      </c>
      <c r="C32" s="193" t="s">
        <v>258</v>
      </c>
      <c r="D32" s="182"/>
      <c r="E32" s="194"/>
      <c r="F32" s="85" t="s">
        <v>70</v>
      </c>
      <c r="G32" s="85" t="s">
        <v>70</v>
      </c>
      <c r="H32" s="85" t="s">
        <v>70</v>
      </c>
      <c r="I32" s="89">
        <f>SUM(I33:I34)</f>
        <v>0</v>
      </c>
      <c r="J32" s="89">
        <f>SUM(J33:J34)</f>
        <v>0</v>
      </c>
      <c r="K32" s="89">
        <f>SUM(K33:K34)</f>
        <v>0</v>
      </c>
      <c r="L32" s="84"/>
      <c r="AH32" s="68" t="s">
        <v>84</v>
      </c>
      <c r="AR32" s="73">
        <f>SUM(AI33:AI34)</f>
        <v>0</v>
      </c>
      <c r="AS32" s="73">
        <f>SUM(AJ33:AJ34)</f>
        <v>0</v>
      </c>
      <c r="AT32" s="73">
        <f>SUM(AK33:AK34)</f>
        <v>0</v>
      </c>
    </row>
    <row r="33" spans="1:63" ht="12.75">
      <c r="A33" s="90" t="s">
        <v>116</v>
      </c>
      <c r="B33" s="90" t="s">
        <v>175</v>
      </c>
      <c r="C33" s="195" t="s">
        <v>259</v>
      </c>
      <c r="D33" s="180"/>
      <c r="E33" s="196"/>
      <c r="F33" s="90" t="s">
        <v>330</v>
      </c>
      <c r="G33" s="91">
        <v>4.8</v>
      </c>
      <c r="H33" s="91">
        <v>0</v>
      </c>
      <c r="I33" s="91">
        <f>G33*AN33</f>
        <v>0</v>
      </c>
      <c r="J33" s="91">
        <f>G33*AO33</f>
        <v>0</v>
      </c>
      <c r="K33" s="91">
        <f>G33*H33</f>
        <v>0</v>
      </c>
      <c r="L33" s="84"/>
      <c r="Y33" s="40">
        <f>IF(AP33="5",BI33,0)</f>
        <v>0</v>
      </c>
      <c r="AA33" s="40">
        <f>IF(AP33="1",BG33,0)</f>
        <v>0</v>
      </c>
      <c r="AB33" s="40">
        <f>IF(AP33="1",BH33,0)</f>
        <v>0</v>
      </c>
      <c r="AC33" s="40">
        <f>IF(AP33="7",BG33,0)</f>
        <v>0</v>
      </c>
      <c r="AD33" s="40">
        <f>IF(AP33="7",BH33,0)</f>
        <v>0</v>
      </c>
      <c r="AE33" s="40">
        <f>IF(AP33="2",BG33,0)</f>
        <v>0</v>
      </c>
      <c r="AF33" s="40">
        <f>IF(AP33="2",BH33,0)</f>
        <v>0</v>
      </c>
      <c r="AG33" s="40">
        <f>IF(AP33="0",BI33,0)</f>
        <v>0</v>
      </c>
      <c r="AH33" s="68" t="s">
        <v>84</v>
      </c>
      <c r="AI33" s="64">
        <f>IF(AM33=0,K33,0)</f>
        <v>0</v>
      </c>
      <c r="AJ33" s="64">
        <f>IF(AM33=15,K33,0)</f>
        <v>0</v>
      </c>
      <c r="AK33" s="64">
        <f>IF(AM33=21,K33,0)</f>
        <v>0</v>
      </c>
      <c r="AM33" s="40">
        <v>21</v>
      </c>
      <c r="AN33" s="40">
        <f>H33*0.0209794912025104</f>
        <v>0</v>
      </c>
      <c r="AO33" s="40">
        <f>H33*(1-0.0209794912025104)</f>
        <v>0</v>
      </c>
      <c r="AP33" s="69" t="s">
        <v>91</v>
      </c>
      <c r="AU33" s="40">
        <f>AV33+AW33</f>
        <v>0</v>
      </c>
      <c r="AV33" s="40">
        <f>G33*AN33</f>
        <v>0</v>
      </c>
      <c r="AW33" s="40">
        <f>G33*AO33</f>
        <v>0</v>
      </c>
      <c r="AX33" s="71" t="s">
        <v>360</v>
      </c>
      <c r="AY33" s="71" t="s">
        <v>379</v>
      </c>
      <c r="AZ33" s="68" t="s">
        <v>392</v>
      </c>
      <c r="BB33" s="40">
        <f>AV33+AW33</f>
        <v>0</v>
      </c>
      <c r="BC33" s="40">
        <f>H33/(100-BD33)*100</f>
        <v>0</v>
      </c>
      <c r="BD33" s="40">
        <v>0</v>
      </c>
      <c r="BE33" s="40">
        <f>33</f>
        <v>33</v>
      </c>
      <c r="BG33" s="64">
        <f>G33*AN33</f>
        <v>0</v>
      </c>
      <c r="BH33" s="64">
        <f>G33*AO33</f>
        <v>0</v>
      </c>
      <c r="BI33" s="64">
        <f>G33*H33</f>
        <v>0</v>
      </c>
      <c r="BJ33" s="64" t="s">
        <v>401</v>
      </c>
      <c r="BK33" s="40">
        <v>28</v>
      </c>
    </row>
    <row r="34" spans="1:63" ht="12.75">
      <c r="A34" s="94" t="s">
        <v>117</v>
      </c>
      <c r="B34" s="94" t="s">
        <v>176</v>
      </c>
      <c r="C34" s="197" t="s">
        <v>260</v>
      </c>
      <c r="D34" s="186"/>
      <c r="E34" s="198"/>
      <c r="F34" s="94" t="s">
        <v>330</v>
      </c>
      <c r="G34" s="95">
        <v>5.28</v>
      </c>
      <c r="H34" s="95">
        <v>0</v>
      </c>
      <c r="I34" s="95">
        <f>G34*AN34</f>
        <v>0</v>
      </c>
      <c r="J34" s="95">
        <f>G34*AO34</f>
        <v>0</v>
      </c>
      <c r="K34" s="95">
        <f>G34*H34</f>
        <v>0</v>
      </c>
      <c r="L34" s="84"/>
      <c r="Y34" s="40">
        <f>IF(AP34="5",BI34,0)</f>
        <v>0</v>
      </c>
      <c r="AA34" s="40">
        <f>IF(AP34="1",BG34,0)</f>
        <v>0</v>
      </c>
      <c r="AB34" s="40">
        <f>IF(AP34="1",BH34,0)</f>
        <v>0</v>
      </c>
      <c r="AC34" s="40">
        <f>IF(AP34="7",BG34,0)</f>
        <v>0</v>
      </c>
      <c r="AD34" s="40">
        <f>IF(AP34="7",BH34,0)</f>
        <v>0</v>
      </c>
      <c r="AE34" s="40">
        <f>IF(AP34="2",BG34,0)</f>
        <v>0</v>
      </c>
      <c r="AF34" s="40">
        <f>IF(AP34="2",BH34,0)</f>
        <v>0</v>
      </c>
      <c r="AG34" s="40">
        <f>IF(AP34="0",BI34,0)</f>
        <v>0</v>
      </c>
      <c r="AH34" s="68" t="s">
        <v>84</v>
      </c>
      <c r="AI34" s="65">
        <f>IF(AM34=0,K34,0)</f>
        <v>0</v>
      </c>
      <c r="AJ34" s="65">
        <f>IF(AM34=15,K34,0)</f>
        <v>0</v>
      </c>
      <c r="AK34" s="65">
        <f>IF(AM34=21,K34,0)</f>
        <v>0</v>
      </c>
      <c r="AM34" s="40">
        <v>21</v>
      </c>
      <c r="AN34" s="40">
        <f>H34*1</f>
        <v>0</v>
      </c>
      <c r="AO34" s="40">
        <f>H34*(1-1)</f>
        <v>0</v>
      </c>
      <c r="AP34" s="70" t="s">
        <v>91</v>
      </c>
      <c r="AU34" s="40">
        <f>AV34+AW34</f>
        <v>0</v>
      </c>
      <c r="AV34" s="40">
        <f>G34*AN34</f>
        <v>0</v>
      </c>
      <c r="AW34" s="40">
        <f>G34*AO34</f>
        <v>0</v>
      </c>
      <c r="AX34" s="71" t="s">
        <v>360</v>
      </c>
      <c r="AY34" s="71" t="s">
        <v>379</v>
      </c>
      <c r="AZ34" s="68" t="s">
        <v>392</v>
      </c>
      <c r="BB34" s="40">
        <f>AV34+AW34</f>
        <v>0</v>
      </c>
      <c r="BC34" s="40">
        <f>H34/(100-BD34)*100</f>
        <v>0</v>
      </c>
      <c r="BD34" s="40">
        <v>0</v>
      </c>
      <c r="BE34" s="40">
        <f>34</f>
        <v>34</v>
      </c>
      <c r="BG34" s="65">
        <f>G34*AN34</f>
        <v>0</v>
      </c>
      <c r="BH34" s="65">
        <f>G34*AO34</f>
        <v>0</v>
      </c>
      <c r="BI34" s="65">
        <f>G34*H34</f>
        <v>0</v>
      </c>
      <c r="BJ34" s="65" t="s">
        <v>219</v>
      </c>
      <c r="BK34" s="40">
        <v>28</v>
      </c>
    </row>
    <row r="35" spans="1:46" ht="12.75">
      <c r="A35" s="85"/>
      <c r="B35" s="86" t="s">
        <v>159</v>
      </c>
      <c r="C35" s="193" t="s">
        <v>261</v>
      </c>
      <c r="D35" s="182"/>
      <c r="E35" s="194"/>
      <c r="F35" s="85" t="s">
        <v>70</v>
      </c>
      <c r="G35" s="85" t="s">
        <v>70</v>
      </c>
      <c r="H35" s="85" t="s">
        <v>70</v>
      </c>
      <c r="I35" s="89">
        <f>SUM(I36:I39)</f>
        <v>0</v>
      </c>
      <c r="J35" s="89">
        <f>SUM(J36:J39)</f>
        <v>0</v>
      </c>
      <c r="K35" s="89">
        <f>SUM(K36:K39)</f>
        <v>0</v>
      </c>
      <c r="L35" s="84"/>
      <c r="AH35" s="68" t="s">
        <v>84</v>
      </c>
      <c r="AR35" s="73">
        <f>SUM(AI36:AI39)</f>
        <v>0</v>
      </c>
      <c r="AS35" s="73">
        <f>SUM(AJ36:AJ39)</f>
        <v>0</v>
      </c>
      <c r="AT35" s="73">
        <f>SUM(AK36:AK39)</f>
        <v>0</v>
      </c>
    </row>
    <row r="36" spans="1:63" ht="12.75">
      <c r="A36" s="90" t="s">
        <v>118</v>
      </c>
      <c r="B36" s="90" t="s">
        <v>177</v>
      </c>
      <c r="C36" s="195" t="s">
        <v>262</v>
      </c>
      <c r="D36" s="180"/>
      <c r="E36" s="196"/>
      <c r="F36" s="90" t="s">
        <v>333</v>
      </c>
      <c r="G36" s="91">
        <v>5.5</v>
      </c>
      <c r="H36" s="91">
        <v>0</v>
      </c>
      <c r="I36" s="91">
        <f>G36*AN36</f>
        <v>0</v>
      </c>
      <c r="J36" s="91">
        <f>G36*AO36</f>
        <v>0</v>
      </c>
      <c r="K36" s="91">
        <f>G36*H36</f>
        <v>0</v>
      </c>
      <c r="L36" s="84"/>
      <c r="Y36" s="40">
        <f>IF(AP36="5",BI36,0)</f>
        <v>0</v>
      </c>
      <c r="AA36" s="40">
        <f>IF(AP36="1",BG36,0)</f>
        <v>0</v>
      </c>
      <c r="AB36" s="40">
        <f>IF(AP36="1",BH36,0)</f>
        <v>0</v>
      </c>
      <c r="AC36" s="40">
        <f>IF(AP36="7",BG36,0)</f>
        <v>0</v>
      </c>
      <c r="AD36" s="40">
        <f>IF(AP36="7",BH36,0)</f>
        <v>0</v>
      </c>
      <c r="AE36" s="40">
        <f>IF(AP36="2",BG36,0)</f>
        <v>0</v>
      </c>
      <c r="AF36" s="40">
        <f>IF(AP36="2",BH36,0)</f>
        <v>0</v>
      </c>
      <c r="AG36" s="40">
        <f>IF(AP36="0",BI36,0)</f>
        <v>0</v>
      </c>
      <c r="AH36" s="68" t="s">
        <v>84</v>
      </c>
      <c r="AI36" s="64">
        <f>IF(AM36=0,K36,0)</f>
        <v>0</v>
      </c>
      <c r="AJ36" s="64">
        <f>IF(AM36=15,K36,0)</f>
        <v>0</v>
      </c>
      <c r="AK36" s="64">
        <f>IF(AM36=21,K36,0)</f>
        <v>0</v>
      </c>
      <c r="AM36" s="40">
        <v>21</v>
      </c>
      <c r="AN36" s="40">
        <f>H36*0.867667304015296</f>
        <v>0</v>
      </c>
      <c r="AO36" s="40">
        <f>H36*(1-0.867667304015296)</f>
        <v>0</v>
      </c>
      <c r="AP36" s="69" t="s">
        <v>91</v>
      </c>
      <c r="AU36" s="40">
        <f>AV36+AW36</f>
        <v>0</v>
      </c>
      <c r="AV36" s="40">
        <f>G36*AN36</f>
        <v>0</v>
      </c>
      <c r="AW36" s="40">
        <f>G36*AO36</f>
        <v>0</v>
      </c>
      <c r="AX36" s="71" t="s">
        <v>361</v>
      </c>
      <c r="AY36" s="71" t="s">
        <v>380</v>
      </c>
      <c r="AZ36" s="68" t="s">
        <v>392</v>
      </c>
      <c r="BB36" s="40">
        <f>AV36+AW36</f>
        <v>0</v>
      </c>
      <c r="BC36" s="40">
        <f>H36/(100-BD36)*100</f>
        <v>0</v>
      </c>
      <c r="BD36" s="40">
        <v>0</v>
      </c>
      <c r="BE36" s="40">
        <f>36</f>
        <v>36</v>
      </c>
      <c r="BG36" s="64">
        <f>G36*AN36</f>
        <v>0</v>
      </c>
      <c r="BH36" s="64">
        <f>G36*AO36</f>
        <v>0</v>
      </c>
      <c r="BI36" s="64">
        <f>G36*H36</f>
        <v>0</v>
      </c>
      <c r="BJ36" s="64" t="s">
        <v>401</v>
      </c>
      <c r="BK36" s="40">
        <v>56</v>
      </c>
    </row>
    <row r="37" spans="1:63" ht="12.75">
      <c r="A37" s="90" t="s">
        <v>119</v>
      </c>
      <c r="B37" s="90" t="s">
        <v>178</v>
      </c>
      <c r="C37" s="195" t="s">
        <v>263</v>
      </c>
      <c r="D37" s="180"/>
      <c r="E37" s="196"/>
      <c r="F37" s="90" t="s">
        <v>330</v>
      </c>
      <c r="G37" s="91">
        <v>52</v>
      </c>
      <c r="H37" s="91">
        <v>0</v>
      </c>
      <c r="I37" s="91">
        <f>G37*AN37</f>
        <v>0</v>
      </c>
      <c r="J37" s="91">
        <f>G37*AO37</f>
        <v>0</v>
      </c>
      <c r="K37" s="91">
        <f>G37*H37</f>
        <v>0</v>
      </c>
      <c r="L37" s="84"/>
      <c r="Y37" s="40">
        <f>IF(AP37="5",BI37,0)</f>
        <v>0</v>
      </c>
      <c r="AA37" s="40">
        <f>IF(AP37="1",BG37,0)</f>
        <v>0</v>
      </c>
      <c r="AB37" s="40">
        <f>IF(AP37="1",BH37,0)</f>
        <v>0</v>
      </c>
      <c r="AC37" s="40">
        <f>IF(AP37="7",BG37,0)</f>
        <v>0</v>
      </c>
      <c r="AD37" s="40">
        <f>IF(AP37="7",BH37,0)</f>
        <v>0</v>
      </c>
      <c r="AE37" s="40">
        <f>IF(AP37="2",BG37,0)</f>
        <v>0</v>
      </c>
      <c r="AF37" s="40">
        <f>IF(AP37="2",BH37,0)</f>
        <v>0</v>
      </c>
      <c r="AG37" s="40">
        <f>IF(AP37="0",BI37,0)</f>
        <v>0</v>
      </c>
      <c r="AH37" s="68" t="s">
        <v>84</v>
      </c>
      <c r="AI37" s="64">
        <f>IF(AM37=0,K37,0)</f>
        <v>0</v>
      </c>
      <c r="AJ37" s="64">
        <f>IF(AM37=15,K37,0)</f>
        <v>0</v>
      </c>
      <c r="AK37" s="64">
        <f>IF(AM37=21,K37,0)</f>
        <v>0</v>
      </c>
      <c r="AM37" s="40">
        <v>21</v>
      </c>
      <c r="AN37" s="40">
        <f>H37*0.81493288590604</f>
        <v>0</v>
      </c>
      <c r="AO37" s="40">
        <f>H37*(1-0.81493288590604)</f>
        <v>0</v>
      </c>
      <c r="AP37" s="69" t="s">
        <v>91</v>
      </c>
      <c r="AU37" s="40">
        <f>AV37+AW37</f>
        <v>0</v>
      </c>
      <c r="AV37" s="40">
        <f>G37*AN37</f>
        <v>0</v>
      </c>
      <c r="AW37" s="40">
        <f>G37*AO37</f>
        <v>0</v>
      </c>
      <c r="AX37" s="71" t="s">
        <v>361</v>
      </c>
      <c r="AY37" s="71" t="s">
        <v>380</v>
      </c>
      <c r="AZ37" s="68" t="s">
        <v>392</v>
      </c>
      <c r="BB37" s="40">
        <f>AV37+AW37</f>
        <v>0</v>
      </c>
      <c r="BC37" s="40">
        <f>H37/(100-BD37)*100</f>
        <v>0</v>
      </c>
      <c r="BD37" s="40">
        <v>0</v>
      </c>
      <c r="BE37" s="40">
        <f>37</f>
        <v>37</v>
      </c>
      <c r="BG37" s="64">
        <f>G37*AN37</f>
        <v>0</v>
      </c>
      <c r="BH37" s="64">
        <f>G37*AO37</f>
        <v>0</v>
      </c>
      <c r="BI37" s="64">
        <f>G37*H37</f>
        <v>0</v>
      </c>
      <c r="BJ37" s="64" t="s">
        <v>401</v>
      </c>
      <c r="BK37" s="40">
        <v>56</v>
      </c>
    </row>
    <row r="38" spans="1:63" ht="12.75">
      <c r="A38" s="90" t="s">
        <v>120</v>
      </c>
      <c r="B38" s="90" t="s">
        <v>179</v>
      </c>
      <c r="C38" s="195" t="s">
        <v>264</v>
      </c>
      <c r="D38" s="180"/>
      <c r="E38" s="196"/>
      <c r="F38" s="90" t="s">
        <v>330</v>
      </c>
      <c r="G38" s="91">
        <v>44.93</v>
      </c>
      <c r="H38" s="91">
        <v>0</v>
      </c>
      <c r="I38" s="91">
        <f>G38*AN38</f>
        <v>0</v>
      </c>
      <c r="J38" s="91">
        <f>G38*AO38</f>
        <v>0</v>
      </c>
      <c r="K38" s="91">
        <f>G38*H38</f>
        <v>0</v>
      </c>
      <c r="L38" s="84"/>
      <c r="Y38" s="40">
        <f>IF(AP38="5",BI38,0)</f>
        <v>0</v>
      </c>
      <c r="AA38" s="40">
        <f>IF(AP38="1",BG38,0)</f>
        <v>0</v>
      </c>
      <c r="AB38" s="40">
        <f>IF(AP38="1",BH38,0)</f>
        <v>0</v>
      </c>
      <c r="AC38" s="40">
        <f>IF(AP38="7",BG38,0)</f>
        <v>0</v>
      </c>
      <c r="AD38" s="40">
        <f>IF(AP38="7",BH38,0)</f>
        <v>0</v>
      </c>
      <c r="AE38" s="40">
        <f>IF(AP38="2",BG38,0)</f>
        <v>0</v>
      </c>
      <c r="AF38" s="40">
        <f>IF(AP38="2",BH38,0)</f>
        <v>0</v>
      </c>
      <c r="AG38" s="40">
        <f>IF(AP38="0",BI38,0)</f>
        <v>0</v>
      </c>
      <c r="AH38" s="68" t="s">
        <v>84</v>
      </c>
      <c r="AI38" s="64">
        <f>IF(AM38=0,K38,0)</f>
        <v>0</v>
      </c>
      <c r="AJ38" s="64">
        <f>IF(AM38=15,K38,0)</f>
        <v>0</v>
      </c>
      <c r="AK38" s="64">
        <f>IF(AM38=21,K38,0)</f>
        <v>0</v>
      </c>
      <c r="AM38" s="40">
        <v>21</v>
      </c>
      <c r="AN38" s="40">
        <f>H38*0.77124909215821</f>
        <v>0</v>
      </c>
      <c r="AO38" s="40">
        <f>H38*(1-0.77124909215821)</f>
        <v>0</v>
      </c>
      <c r="AP38" s="69" t="s">
        <v>91</v>
      </c>
      <c r="AU38" s="40">
        <f>AV38+AW38</f>
        <v>0</v>
      </c>
      <c r="AV38" s="40">
        <f>G38*AN38</f>
        <v>0</v>
      </c>
      <c r="AW38" s="40">
        <f>G38*AO38</f>
        <v>0</v>
      </c>
      <c r="AX38" s="71" t="s">
        <v>361</v>
      </c>
      <c r="AY38" s="71" t="s">
        <v>380</v>
      </c>
      <c r="AZ38" s="68" t="s">
        <v>392</v>
      </c>
      <c r="BB38" s="40">
        <f>AV38+AW38</f>
        <v>0</v>
      </c>
      <c r="BC38" s="40">
        <f>H38/(100-BD38)*100</f>
        <v>0</v>
      </c>
      <c r="BD38" s="40">
        <v>0</v>
      </c>
      <c r="BE38" s="40">
        <f>38</f>
        <v>38</v>
      </c>
      <c r="BG38" s="64">
        <f>G38*AN38</f>
        <v>0</v>
      </c>
      <c r="BH38" s="64">
        <f>G38*AO38</f>
        <v>0</v>
      </c>
      <c r="BI38" s="64">
        <f>G38*H38</f>
        <v>0</v>
      </c>
      <c r="BJ38" s="64" t="s">
        <v>401</v>
      </c>
      <c r="BK38" s="40">
        <v>56</v>
      </c>
    </row>
    <row r="39" spans="1:63" ht="12.75">
      <c r="A39" s="87" t="s">
        <v>121</v>
      </c>
      <c r="B39" s="87" t="s">
        <v>180</v>
      </c>
      <c r="C39" s="189" t="s">
        <v>265</v>
      </c>
      <c r="D39" s="180"/>
      <c r="E39" s="190"/>
      <c r="F39" s="87" t="s">
        <v>333</v>
      </c>
      <c r="G39" s="88">
        <v>45.27</v>
      </c>
      <c r="H39" s="88">
        <v>0</v>
      </c>
      <c r="I39" s="88">
        <f>G39*AN39</f>
        <v>0</v>
      </c>
      <c r="J39" s="88">
        <f>G39*AO39</f>
        <v>0</v>
      </c>
      <c r="K39" s="88">
        <f>G39*H39</f>
        <v>0</v>
      </c>
      <c r="L39" s="84"/>
      <c r="Y39" s="40">
        <f>IF(AP39="5",BI39,0)</f>
        <v>0</v>
      </c>
      <c r="AA39" s="40">
        <f>IF(AP39="1",BG39,0)</f>
        <v>0</v>
      </c>
      <c r="AB39" s="40">
        <f>IF(AP39="1",BH39,0)</f>
        <v>0</v>
      </c>
      <c r="AC39" s="40">
        <f>IF(AP39="7",BG39,0)</f>
        <v>0</v>
      </c>
      <c r="AD39" s="40">
        <f>IF(AP39="7",BH39,0)</f>
        <v>0</v>
      </c>
      <c r="AE39" s="40">
        <f>IF(AP39="2",BG39,0)</f>
        <v>0</v>
      </c>
      <c r="AF39" s="40">
        <f>IF(AP39="2",BH39,0)</f>
        <v>0</v>
      </c>
      <c r="AG39" s="40">
        <f>IF(AP39="0",BI39,0)</f>
        <v>0</v>
      </c>
      <c r="AH39" s="68" t="s">
        <v>84</v>
      </c>
      <c r="AI39" s="64">
        <f>IF(AM39=0,K39,0)</f>
        <v>0</v>
      </c>
      <c r="AJ39" s="64">
        <f>IF(AM39=15,K39,0)</f>
        <v>0</v>
      </c>
      <c r="AK39" s="64">
        <f>IF(AM39=21,K39,0)</f>
        <v>0</v>
      </c>
      <c r="AM39" s="40">
        <v>21</v>
      </c>
      <c r="AN39" s="40">
        <f>H39*0</f>
        <v>0</v>
      </c>
      <c r="AO39" s="40">
        <f>H39*(1-0)</f>
        <v>0</v>
      </c>
      <c r="AP39" s="69" t="s">
        <v>93</v>
      </c>
      <c r="AU39" s="40">
        <f>AV39+AW39</f>
        <v>0</v>
      </c>
      <c r="AV39" s="40">
        <f>G39*AN39</f>
        <v>0</v>
      </c>
      <c r="AW39" s="40">
        <f>G39*AO39</f>
        <v>0</v>
      </c>
      <c r="AX39" s="71" t="s">
        <v>361</v>
      </c>
      <c r="AY39" s="71" t="s">
        <v>380</v>
      </c>
      <c r="AZ39" s="68" t="s">
        <v>392</v>
      </c>
      <c r="BB39" s="40">
        <f>AV39+AW39</f>
        <v>0</v>
      </c>
      <c r="BC39" s="40">
        <f>H39/(100-BD39)*100</f>
        <v>0</v>
      </c>
      <c r="BD39" s="40">
        <v>0</v>
      </c>
      <c r="BE39" s="40">
        <f>39</f>
        <v>39</v>
      </c>
      <c r="BG39" s="64">
        <f>G39*AN39</f>
        <v>0</v>
      </c>
      <c r="BH39" s="64">
        <f>G39*AO39</f>
        <v>0</v>
      </c>
      <c r="BI39" s="64">
        <f>G39*H39</f>
        <v>0</v>
      </c>
      <c r="BJ39" s="64" t="s">
        <v>401</v>
      </c>
      <c r="BK39" s="40">
        <v>56</v>
      </c>
    </row>
    <row r="40" spans="1:46" ht="12.75">
      <c r="A40" s="49"/>
      <c r="B40" s="55" t="s">
        <v>160</v>
      </c>
      <c r="C40" s="181" t="s">
        <v>266</v>
      </c>
      <c r="D40" s="182"/>
      <c r="E40" s="182"/>
      <c r="F40" s="61" t="s">
        <v>70</v>
      </c>
      <c r="G40" s="61" t="s">
        <v>70</v>
      </c>
      <c r="H40" s="61" t="s">
        <v>70</v>
      </c>
      <c r="I40" s="73">
        <f>SUM(I41:I42)</f>
        <v>0</v>
      </c>
      <c r="J40" s="73">
        <f>SUM(J41:J42)</f>
        <v>0</v>
      </c>
      <c r="K40" s="73">
        <f>SUM(K41:K42)</f>
        <v>0</v>
      </c>
      <c r="L40" s="18"/>
      <c r="AH40" s="68" t="s">
        <v>84</v>
      </c>
      <c r="AR40" s="73">
        <f>SUM(AI41:AI42)</f>
        <v>0</v>
      </c>
      <c r="AS40" s="73">
        <f>SUM(AJ41:AJ42)</f>
        <v>0</v>
      </c>
      <c r="AT40" s="73">
        <f>SUM(AK41:AK42)</f>
        <v>0</v>
      </c>
    </row>
    <row r="41" spans="1:63" ht="12.75">
      <c r="A41" s="50" t="s">
        <v>122</v>
      </c>
      <c r="B41" s="56" t="s">
        <v>181</v>
      </c>
      <c r="C41" s="179" t="s">
        <v>267</v>
      </c>
      <c r="D41" s="180"/>
      <c r="E41" s="180"/>
      <c r="F41" s="56" t="s">
        <v>330</v>
      </c>
      <c r="G41" s="64">
        <v>3</v>
      </c>
      <c r="H41" s="64">
        <v>0</v>
      </c>
      <c r="I41" s="64">
        <f>G41*AN41</f>
        <v>0</v>
      </c>
      <c r="J41" s="64">
        <f>G41*AO41</f>
        <v>0</v>
      </c>
      <c r="K41" s="64">
        <f>G41*H41</f>
        <v>0</v>
      </c>
      <c r="L41" s="18"/>
      <c r="Y41" s="40">
        <f>IF(AP41="5",BI41,0)</f>
        <v>0</v>
      </c>
      <c r="AA41" s="40">
        <f>IF(AP41="1",BG41,0)</f>
        <v>0</v>
      </c>
      <c r="AB41" s="40">
        <f>IF(AP41="1",BH41,0)</f>
        <v>0</v>
      </c>
      <c r="AC41" s="40">
        <f>IF(AP41="7",BG41,0)</f>
        <v>0</v>
      </c>
      <c r="AD41" s="40">
        <f>IF(AP41="7",BH41,0)</f>
        <v>0</v>
      </c>
      <c r="AE41" s="40">
        <f>IF(AP41="2",BG41,0)</f>
        <v>0</v>
      </c>
      <c r="AF41" s="40">
        <f>IF(AP41="2",BH41,0)</f>
        <v>0</v>
      </c>
      <c r="AG41" s="40">
        <f>IF(AP41="0",BI41,0)</f>
        <v>0</v>
      </c>
      <c r="AH41" s="68" t="s">
        <v>84</v>
      </c>
      <c r="AI41" s="64">
        <f>IF(AM41=0,K41,0)</f>
        <v>0</v>
      </c>
      <c r="AJ41" s="64">
        <f>IF(AM41=15,K41,0)</f>
        <v>0</v>
      </c>
      <c r="AK41" s="64">
        <f>IF(AM41=21,K41,0)</f>
        <v>0</v>
      </c>
      <c r="AM41" s="40">
        <v>21</v>
      </c>
      <c r="AN41" s="40">
        <f>H41*0.809369592088999</f>
        <v>0</v>
      </c>
      <c r="AO41" s="40">
        <f>H41*(1-0.809369592088999)</f>
        <v>0</v>
      </c>
      <c r="AP41" s="69" t="s">
        <v>91</v>
      </c>
      <c r="AU41" s="40">
        <f>AV41+AW41</f>
        <v>0</v>
      </c>
      <c r="AV41" s="40">
        <f>G41*AN41</f>
        <v>0</v>
      </c>
      <c r="AW41" s="40">
        <f>G41*AO41</f>
        <v>0</v>
      </c>
      <c r="AX41" s="71" t="s">
        <v>362</v>
      </c>
      <c r="AY41" s="71" t="s">
        <v>380</v>
      </c>
      <c r="AZ41" s="68" t="s">
        <v>392</v>
      </c>
      <c r="BB41" s="40">
        <f>AV41+AW41</f>
        <v>0</v>
      </c>
      <c r="BC41" s="40">
        <f>H41/(100-BD41)*100</f>
        <v>0</v>
      </c>
      <c r="BD41" s="40">
        <v>0</v>
      </c>
      <c r="BE41" s="40">
        <f>41</f>
        <v>41</v>
      </c>
      <c r="BG41" s="64">
        <f>G41*AN41</f>
        <v>0</v>
      </c>
      <c r="BH41" s="64">
        <f>G41*AO41</f>
        <v>0</v>
      </c>
      <c r="BI41" s="64">
        <f>G41*H41</f>
        <v>0</v>
      </c>
      <c r="BJ41" s="64" t="s">
        <v>401</v>
      </c>
      <c r="BK41" s="40">
        <v>57</v>
      </c>
    </row>
    <row r="42" spans="1:63" ht="12.75">
      <c r="A42" s="50" t="s">
        <v>123</v>
      </c>
      <c r="B42" s="56" t="s">
        <v>182</v>
      </c>
      <c r="C42" s="179" t="s">
        <v>268</v>
      </c>
      <c r="D42" s="180"/>
      <c r="E42" s="180"/>
      <c r="F42" s="56" t="s">
        <v>333</v>
      </c>
      <c r="G42" s="64">
        <v>0.38</v>
      </c>
      <c r="H42" s="64">
        <v>0</v>
      </c>
      <c r="I42" s="64">
        <f>G42*AN42</f>
        <v>0</v>
      </c>
      <c r="J42" s="64">
        <f>G42*AO42</f>
        <v>0</v>
      </c>
      <c r="K42" s="64">
        <f>G42*H42</f>
        <v>0</v>
      </c>
      <c r="L42" s="18"/>
      <c r="Y42" s="40">
        <f>IF(AP42="5",BI42,0)</f>
        <v>0</v>
      </c>
      <c r="AA42" s="40">
        <f>IF(AP42="1",BG42,0)</f>
        <v>0</v>
      </c>
      <c r="AB42" s="40">
        <f>IF(AP42="1",BH42,0)</f>
        <v>0</v>
      </c>
      <c r="AC42" s="40">
        <f>IF(AP42="7",BG42,0)</f>
        <v>0</v>
      </c>
      <c r="AD42" s="40">
        <f>IF(AP42="7",BH42,0)</f>
        <v>0</v>
      </c>
      <c r="AE42" s="40">
        <f>IF(AP42="2",BG42,0)</f>
        <v>0</v>
      </c>
      <c r="AF42" s="40">
        <f>IF(AP42="2",BH42,0)</f>
        <v>0</v>
      </c>
      <c r="AG42" s="40">
        <f>IF(AP42="0",BI42,0)</f>
        <v>0</v>
      </c>
      <c r="AH42" s="68" t="s">
        <v>84</v>
      </c>
      <c r="AI42" s="64">
        <f>IF(AM42=0,K42,0)</f>
        <v>0</v>
      </c>
      <c r="AJ42" s="64">
        <f>IF(AM42=15,K42,0)</f>
        <v>0</v>
      </c>
      <c r="AK42" s="64">
        <f>IF(AM42=21,K42,0)</f>
        <v>0</v>
      </c>
      <c r="AM42" s="40">
        <v>21</v>
      </c>
      <c r="AN42" s="40">
        <f>H42*0</f>
        <v>0</v>
      </c>
      <c r="AO42" s="40">
        <f>H42*(1-0)</f>
        <v>0</v>
      </c>
      <c r="AP42" s="69" t="s">
        <v>93</v>
      </c>
      <c r="AU42" s="40">
        <f>AV42+AW42</f>
        <v>0</v>
      </c>
      <c r="AV42" s="40">
        <f>G42*AN42</f>
        <v>0</v>
      </c>
      <c r="AW42" s="40">
        <f>G42*AO42</f>
        <v>0</v>
      </c>
      <c r="AX42" s="71" t="s">
        <v>362</v>
      </c>
      <c r="AY42" s="71" t="s">
        <v>380</v>
      </c>
      <c r="AZ42" s="68" t="s">
        <v>392</v>
      </c>
      <c r="BB42" s="40">
        <f>AV42+AW42</f>
        <v>0</v>
      </c>
      <c r="BC42" s="40">
        <f>H42/(100-BD42)*100</f>
        <v>0</v>
      </c>
      <c r="BD42" s="40">
        <v>0</v>
      </c>
      <c r="BE42" s="40">
        <f>42</f>
        <v>42</v>
      </c>
      <c r="BG42" s="64">
        <f>G42*AN42</f>
        <v>0</v>
      </c>
      <c r="BH42" s="64">
        <f>G42*AO42</f>
        <v>0</v>
      </c>
      <c r="BI42" s="64">
        <f>G42*H42</f>
        <v>0</v>
      </c>
      <c r="BJ42" s="64" t="s">
        <v>401</v>
      </c>
      <c r="BK42" s="40">
        <v>57</v>
      </c>
    </row>
    <row r="43" spans="1:46" ht="12.75">
      <c r="A43" s="85"/>
      <c r="B43" s="86" t="s">
        <v>161</v>
      </c>
      <c r="C43" s="193" t="s">
        <v>269</v>
      </c>
      <c r="D43" s="182"/>
      <c r="E43" s="194"/>
      <c r="F43" s="85" t="s">
        <v>70</v>
      </c>
      <c r="G43" s="85" t="s">
        <v>70</v>
      </c>
      <c r="H43" s="85" t="s">
        <v>70</v>
      </c>
      <c r="I43" s="89">
        <f>SUM(I44:I46)</f>
        <v>0</v>
      </c>
      <c r="J43" s="89">
        <f>SUM(J44:J46)</f>
        <v>0</v>
      </c>
      <c r="K43" s="89">
        <f>SUM(K44:K46)</f>
        <v>0</v>
      </c>
      <c r="L43" s="84"/>
      <c r="AH43" s="68" t="s">
        <v>84</v>
      </c>
      <c r="AR43" s="73">
        <f>SUM(AI44:AI46)</f>
        <v>0</v>
      </c>
      <c r="AS43" s="73">
        <f>SUM(AJ44:AJ46)</f>
        <v>0</v>
      </c>
      <c r="AT43" s="73">
        <f>SUM(AK44:AK46)</f>
        <v>0</v>
      </c>
    </row>
    <row r="44" spans="1:63" ht="12.75">
      <c r="A44" s="90" t="s">
        <v>124</v>
      </c>
      <c r="B44" s="90" t="s">
        <v>183</v>
      </c>
      <c r="C44" s="195" t="s">
        <v>270</v>
      </c>
      <c r="D44" s="180"/>
      <c r="E44" s="196"/>
      <c r="F44" s="90" t="s">
        <v>330</v>
      </c>
      <c r="G44" s="91">
        <v>48</v>
      </c>
      <c r="H44" s="91">
        <v>0</v>
      </c>
      <c r="I44" s="91">
        <f>G44*AN44</f>
        <v>0</v>
      </c>
      <c r="J44" s="91">
        <f>G44*AO44</f>
        <v>0</v>
      </c>
      <c r="K44" s="91">
        <f>G44*H44</f>
        <v>0</v>
      </c>
      <c r="L44" s="84"/>
      <c r="Y44" s="40">
        <f>IF(AP44="5",BI44,0)</f>
        <v>0</v>
      </c>
      <c r="AA44" s="40">
        <f>IF(AP44="1",BG44,0)</f>
        <v>0</v>
      </c>
      <c r="AB44" s="40">
        <f>IF(AP44="1",BH44,0)</f>
        <v>0</v>
      </c>
      <c r="AC44" s="40">
        <f>IF(AP44="7",BG44,0)</f>
        <v>0</v>
      </c>
      <c r="AD44" s="40">
        <f>IF(AP44="7",BH44,0)</f>
        <v>0</v>
      </c>
      <c r="AE44" s="40">
        <f>IF(AP44="2",BG44,0)</f>
        <v>0</v>
      </c>
      <c r="AF44" s="40">
        <f>IF(AP44="2",BH44,0)</f>
        <v>0</v>
      </c>
      <c r="AG44" s="40">
        <f>IF(AP44="0",BI44,0)</f>
        <v>0</v>
      </c>
      <c r="AH44" s="68" t="s">
        <v>84</v>
      </c>
      <c r="AI44" s="64">
        <f>IF(AM44=0,K44,0)</f>
        <v>0</v>
      </c>
      <c r="AJ44" s="64">
        <f>IF(AM44=15,K44,0)</f>
        <v>0</v>
      </c>
      <c r="AK44" s="64">
        <f>IF(AM44=21,K44,0)</f>
        <v>0</v>
      </c>
      <c r="AM44" s="40">
        <v>21</v>
      </c>
      <c r="AN44" s="40">
        <f>H44*0.12378640776699</f>
        <v>0</v>
      </c>
      <c r="AO44" s="40">
        <f>H44*(1-0.12378640776699)</f>
        <v>0</v>
      </c>
      <c r="AP44" s="69" t="s">
        <v>91</v>
      </c>
      <c r="AU44" s="40">
        <f>AV44+AW44</f>
        <v>0</v>
      </c>
      <c r="AV44" s="40">
        <f>G44*AN44</f>
        <v>0</v>
      </c>
      <c r="AW44" s="40">
        <f>G44*AO44</f>
        <v>0</v>
      </c>
      <c r="AX44" s="71" t="s">
        <v>363</v>
      </c>
      <c r="AY44" s="71" t="s">
        <v>380</v>
      </c>
      <c r="AZ44" s="68" t="s">
        <v>392</v>
      </c>
      <c r="BB44" s="40">
        <f>AV44+AW44</f>
        <v>0</v>
      </c>
      <c r="BC44" s="40">
        <f>H44/(100-BD44)*100</f>
        <v>0</v>
      </c>
      <c r="BD44" s="40">
        <v>0</v>
      </c>
      <c r="BE44" s="40">
        <f>44</f>
        <v>44</v>
      </c>
      <c r="BG44" s="64">
        <f>G44*AN44</f>
        <v>0</v>
      </c>
      <c r="BH44" s="64">
        <f>G44*AO44</f>
        <v>0</v>
      </c>
      <c r="BI44" s="64">
        <f>G44*H44</f>
        <v>0</v>
      </c>
      <c r="BJ44" s="64" t="s">
        <v>401</v>
      </c>
      <c r="BK44" s="40">
        <v>58</v>
      </c>
    </row>
    <row r="45" spans="1:63" ht="12.75">
      <c r="A45" s="92" t="s">
        <v>125</v>
      </c>
      <c r="B45" s="92" t="s">
        <v>184</v>
      </c>
      <c r="C45" s="191" t="s">
        <v>271</v>
      </c>
      <c r="D45" s="186"/>
      <c r="E45" s="192"/>
      <c r="F45" s="92" t="s">
        <v>334</v>
      </c>
      <c r="G45" s="93">
        <v>8</v>
      </c>
      <c r="H45" s="93">
        <v>0</v>
      </c>
      <c r="I45" s="93">
        <f>G45*AN45</f>
        <v>0</v>
      </c>
      <c r="J45" s="93">
        <f>G45*AO45</f>
        <v>0</v>
      </c>
      <c r="K45" s="93">
        <f>G45*H45</f>
        <v>0</v>
      </c>
      <c r="L45" s="84"/>
      <c r="Y45" s="40">
        <f>IF(AP45="5",BI45,0)</f>
        <v>0</v>
      </c>
      <c r="AA45" s="40">
        <f>IF(AP45="1",BG45,0)</f>
        <v>0</v>
      </c>
      <c r="AB45" s="40">
        <f>IF(AP45="1",BH45,0)</f>
        <v>0</v>
      </c>
      <c r="AC45" s="40">
        <f>IF(AP45="7",BG45,0)</f>
        <v>0</v>
      </c>
      <c r="AD45" s="40">
        <f>IF(AP45="7",BH45,0)</f>
        <v>0</v>
      </c>
      <c r="AE45" s="40">
        <f>IF(AP45="2",BG45,0)</f>
        <v>0</v>
      </c>
      <c r="AF45" s="40">
        <f>IF(AP45="2",BH45,0)</f>
        <v>0</v>
      </c>
      <c r="AG45" s="40">
        <f>IF(AP45="0",BI45,0)</f>
        <v>0</v>
      </c>
      <c r="AH45" s="68" t="s">
        <v>84</v>
      </c>
      <c r="AI45" s="65">
        <f>IF(AM45=0,K45,0)</f>
        <v>0</v>
      </c>
      <c r="AJ45" s="65">
        <f>IF(AM45=15,K45,0)</f>
        <v>0</v>
      </c>
      <c r="AK45" s="65">
        <f>IF(AM45=21,K45,0)</f>
        <v>0</v>
      </c>
      <c r="AM45" s="40">
        <v>21</v>
      </c>
      <c r="AN45" s="40">
        <f>H45*1</f>
        <v>0</v>
      </c>
      <c r="AO45" s="40">
        <f>H45*(1-1)</f>
        <v>0</v>
      </c>
      <c r="AP45" s="70" t="s">
        <v>91</v>
      </c>
      <c r="AU45" s="40">
        <f>AV45+AW45</f>
        <v>0</v>
      </c>
      <c r="AV45" s="40">
        <f>G45*AN45</f>
        <v>0</v>
      </c>
      <c r="AW45" s="40">
        <f>G45*AO45</f>
        <v>0</v>
      </c>
      <c r="AX45" s="71" t="s">
        <v>363</v>
      </c>
      <c r="AY45" s="71" t="s">
        <v>380</v>
      </c>
      <c r="AZ45" s="68" t="s">
        <v>392</v>
      </c>
      <c r="BB45" s="40">
        <f>AV45+AW45</f>
        <v>0</v>
      </c>
      <c r="BC45" s="40">
        <f>H45/(100-BD45)*100</f>
        <v>0</v>
      </c>
      <c r="BD45" s="40">
        <v>0</v>
      </c>
      <c r="BE45" s="40">
        <f>45</f>
        <v>45</v>
      </c>
      <c r="BG45" s="65">
        <f>G45*AN45</f>
        <v>0</v>
      </c>
      <c r="BH45" s="65">
        <f>G45*AO45</f>
        <v>0</v>
      </c>
      <c r="BI45" s="65">
        <f>G45*H45</f>
        <v>0</v>
      </c>
      <c r="BJ45" s="65" t="s">
        <v>219</v>
      </c>
      <c r="BK45" s="40">
        <v>58</v>
      </c>
    </row>
    <row r="46" spans="1:63" ht="12.75">
      <c r="A46" s="50" t="s">
        <v>126</v>
      </c>
      <c r="B46" s="56" t="s">
        <v>185</v>
      </c>
      <c r="C46" s="179" t="s">
        <v>272</v>
      </c>
      <c r="D46" s="180"/>
      <c r="E46" s="180"/>
      <c r="F46" s="56" t="s">
        <v>333</v>
      </c>
      <c r="G46" s="64">
        <v>21.97</v>
      </c>
      <c r="H46" s="64">
        <v>0</v>
      </c>
      <c r="I46" s="64">
        <f>G46*AN46</f>
        <v>0</v>
      </c>
      <c r="J46" s="64">
        <f>G46*AO46</f>
        <v>0</v>
      </c>
      <c r="K46" s="64">
        <f>G46*H46</f>
        <v>0</v>
      </c>
      <c r="L46" s="18"/>
      <c r="Y46" s="40">
        <f>IF(AP46="5",BI46,0)</f>
        <v>0</v>
      </c>
      <c r="AA46" s="40">
        <f>IF(AP46="1",BG46,0)</f>
        <v>0</v>
      </c>
      <c r="AB46" s="40">
        <f>IF(AP46="1",BH46,0)</f>
        <v>0</v>
      </c>
      <c r="AC46" s="40">
        <f>IF(AP46="7",BG46,0)</f>
        <v>0</v>
      </c>
      <c r="AD46" s="40">
        <f>IF(AP46="7",BH46,0)</f>
        <v>0</v>
      </c>
      <c r="AE46" s="40">
        <f>IF(AP46="2",BG46,0)</f>
        <v>0</v>
      </c>
      <c r="AF46" s="40">
        <f>IF(AP46="2",BH46,0)</f>
        <v>0</v>
      </c>
      <c r="AG46" s="40">
        <f>IF(AP46="0",BI46,0)</f>
        <v>0</v>
      </c>
      <c r="AH46" s="68" t="s">
        <v>84</v>
      </c>
      <c r="AI46" s="64">
        <f>IF(AM46=0,K46,0)</f>
        <v>0</v>
      </c>
      <c r="AJ46" s="64">
        <f>IF(AM46=15,K46,0)</f>
        <v>0</v>
      </c>
      <c r="AK46" s="64">
        <f>IF(AM46=21,K46,0)</f>
        <v>0</v>
      </c>
      <c r="AM46" s="40">
        <v>21</v>
      </c>
      <c r="AN46" s="40">
        <f>H46*0</f>
        <v>0</v>
      </c>
      <c r="AO46" s="40">
        <f>H46*(1-0)</f>
        <v>0</v>
      </c>
      <c r="AP46" s="69" t="s">
        <v>93</v>
      </c>
      <c r="AU46" s="40">
        <f>AV46+AW46</f>
        <v>0</v>
      </c>
      <c r="AV46" s="40">
        <f>G46*AN46</f>
        <v>0</v>
      </c>
      <c r="AW46" s="40">
        <f>G46*AO46</f>
        <v>0</v>
      </c>
      <c r="AX46" s="71" t="s">
        <v>363</v>
      </c>
      <c r="AY46" s="71" t="s">
        <v>380</v>
      </c>
      <c r="AZ46" s="68" t="s">
        <v>392</v>
      </c>
      <c r="BB46" s="40">
        <f>AV46+AW46</f>
        <v>0</v>
      </c>
      <c r="BC46" s="40">
        <f>H46/(100-BD46)*100</f>
        <v>0</v>
      </c>
      <c r="BD46" s="40">
        <v>0</v>
      </c>
      <c r="BE46" s="40">
        <f>46</f>
        <v>46</v>
      </c>
      <c r="BG46" s="64">
        <f>G46*AN46</f>
        <v>0</v>
      </c>
      <c r="BH46" s="64">
        <f>G46*AO46</f>
        <v>0</v>
      </c>
      <c r="BI46" s="64">
        <f>G46*H46</f>
        <v>0</v>
      </c>
      <c r="BJ46" s="64" t="s">
        <v>401</v>
      </c>
      <c r="BK46" s="40">
        <v>58</v>
      </c>
    </row>
    <row r="47" spans="1:46" ht="12.75">
      <c r="A47" s="49"/>
      <c r="B47" s="55" t="s">
        <v>56</v>
      </c>
      <c r="C47" s="181" t="s">
        <v>273</v>
      </c>
      <c r="D47" s="182"/>
      <c r="E47" s="182"/>
      <c r="F47" s="61" t="s">
        <v>70</v>
      </c>
      <c r="G47" s="61" t="s">
        <v>70</v>
      </c>
      <c r="H47" s="61" t="s">
        <v>70</v>
      </c>
      <c r="I47" s="73">
        <f>SUM(I48:I48)</f>
        <v>0</v>
      </c>
      <c r="J47" s="73">
        <f>SUM(J48:J48)</f>
        <v>0</v>
      </c>
      <c r="K47" s="73">
        <f>SUM(K48:K48)</f>
        <v>0</v>
      </c>
      <c r="L47" s="18"/>
      <c r="AH47" s="68" t="s">
        <v>84</v>
      </c>
      <c r="AR47" s="73">
        <f>SUM(AI48:AI48)</f>
        <v>0</v>
      </c>
      <c r="AS47" s="73">
        <f>SUM(AJ48:AJ48)</f>
        <v>0</v>
      </c>
      <c r="AT47" s="73">
        <f>SUM(AK48:AK48)</f>
        <v>0</v>
      </c>
    </row>
    <row r="48" spans="1:63" ht="12.75">
      <c r="A48" s="50" t="s">
        <v>127</v>
      </c>
      <c r="B48" s="56" t="s">
        <v>186</v>
      </c>
      <c r="C48" s="179" t="s">
        <v>274</v>
      </c>
      <c r="D48" s="180"/>
      <c r="E48" s="180"/>
      <c r="F48" s="56" t="s">
        <v>330</v>
      </c>
      <c r="G48" s="64">
        <v>3</v>
      </c>
      <c r="H48" s="64">
        <v>0</v>
      </c>
      <c r="I48" s="64">
        <f>G48*AN48</f>
        <v>0</v>
      </c>
      <c r="J48" s="64">
        <f>G48*AO48</f>
        <v>0</v>
      </c>
      <c r="K48" s="64">
        <f>G48*H48</f>
        <v>0</v>
      </c>
      <c r="L48" s="18"/>
      <c r="Y48" s="40">
        <f>IF(AP48="5",BI48,0)</f>
        <v>0</v>
      </c>
      <c r="AA48" s="40">
        <f>IF(AP48="1",BG48,0)</f>
        <v>0</v>
      </c>
      <c r="AB48" s="40">
        <f>IF(AP48="1",BH48,0)</f>
        <v>0</v>
      </c>
      <c r="AC48" s="40">
        <f>IF(AP48="7",BG48,0)</f>
        <v>0</v>
      </c>
      <c r="AD48" s="40">
        <f>IF(AP48="7",BH48,0)</f>
        <v>0</v>
      </c>
      <c r="AE48" s="40">
        <f>IF(AP48="2",BG48,0)</f>
        <v>0</v>
      </c>
      <c r="AF48" s="40">
        <f>IF(AP48="2",BH48,0)</f>
        <v>0</v>
      </c>
      <c r="AG48" s="40">
        <f>IF(AP48="0",BI48,0)</f>
        <v>0</v>
      </c>
      <c r="AH48" s="68" t="s">
        <v>84</v>
      </c>
      <c r="AI48" s="64">
        <f>IF(AM48=0,K48,0)</f>
        <v>0</v>
      </c>
      <c r="AJ48" s="64">
        <f>IF(AM48=15,K48,0)</f>
        <v>0</v>
      </c>
      <c r="AK48" s="64">
        <f>IF(AM48=21,K48,0)</f>
        <v>0</v>
      </c>
      <c r="AM48" s="40">
        <v>21</v>
      </c>
      <c r="AN48" s="40">
        <f>H48*0.126788511749347</f>
        <v>0</v>
      </c>
      <c r="AO48" s="40">
        <f>H48*(1-0.126788511749347)</f>
        <v>0</v>
      </c>
      <c r="AP48" s="69" t="s">
        <v>91</v>
      </c>
      <c r="AU48" s="40">
        <f>AV48+AW48</f>
        <v>0</v>
      </c>
      <c r="AV48" s="40">
        <f>G48*AN48</f>
        <v>0</v>
      </c>
      <c r="AW48" s="40">
        <f>G48*AO48</f>
        <v>0</v>
      </c>
      <c r="AX48" s="71" t="s">
        <v>364</v>
      </c>
      <c r="AY48" s="71" t="s">
        <v>380</v>
      </c>
      <c r="AZ48" s="68" t="s">
        <v>392</v>
      </c>
      <c r="BB48" s="40">
        <f>AV48+AW48</f>
        <v>0</v>
      </c>
      <c r="BC48" s="40">
        <f>H48/(100-BD48)*100</f>
        <v>0</v>
      </c>
      <c r="BD48" s="40">
        <v>0</v>
      </c>
      <c r="BE48" s="40">
        <f>48</f>
        <v>48</v>
      </c>
      <c r="BG48" s="64">
        <f>G48*AN48</f>
        <v>0</v>
      </c>
      <c r="BH48" s="64">
        <f>G48*AO48</f>
        <v>0</v>
      </c>
      <c r="BI48" s="64">
        <f>G48*H48</f>
        <v>0</v>
      </c>
      <c r="BJ48" s="64" t="s">
        <v>401</v>
      </c>
      <c r="BK48" s="40">
        <v>59</v>
      </c>
    </row>
    <row r="49" spans="1:46" ht="12.75">
      <c r="A49" s="85"/>
      <c r="B49" s="86" t="s">
        <v>187</v>
      </c>
      <c r="C49" s="193" t="s">
        <v>275</v>
      </c>
      <c r="D49" s="182"/>
      <c r="E49" s="194"/>
      <c r="F49" s="85" t="s">
        <v>70</v>
      </c>
      <c r="G49" s="85" t="s">
        <v>70</v>
      </c>
      <c r="H49" s="85" t="s">
        <v>70</v>
      </c>
      <c r="I49" s="89">
        <f>SUM(I50:I52)</f>
        <v>0</v>
      </c>
      <c r="J49" s="89">
        <f>SUM(J50:J52)</f>
        <v>0</v>
      </c>
      <c r="K49" s="89">
        <f>SUM(K50:K52)</f>
        <v>0</v>
      </c>
      <c r="L49" s="84"/>
      <c r="AH49" s="68" t="s">
        <v>84</v>
      </c>
      <c r="AR49" s="73">
        <f>SUM(AI50:AI52)</f>
        <v>0</v>
      </c>
      <c r="AS49" s="73">
        <f>SUM(AJ50:AJ52)</f>
        <v>0</v>
      </c>
      <c r="AT49" s="73">
        <f>SUM(AK50:AK52)</f>
        <v>0</v>
      </c>
    </row>
    <row r="50" spans="1:63" ht="12.75">
      <c r="A50" s="87" t="s">
        <v>128</v>
      </c>
      <c r="B50" s="87" t="s">
        <v>188</v>
      </c>
      <c r="C50" s="189" t="s">
        <v>276</v>
      </c>
      <c r="D50" s="180"/>
      <c r="E50" s="190"/>
      <c r="F50" s="87" t="s">
        <v>335</v>
      </c>
      <c r="G50" s="88">
        <v>22</v>
      </c>
      <c r="H50" s="88">
        <v>0</v>
      </c>
      <c r="I50" s="88">
        <f>G50*AN50</f>
        <v>0</v>
      </c>
      <c r="J50" s="88">
        <f>G50*AO50</f>
        <v>0</v>
      </c>
      <c r="K50" s="88">
        <f>G50*H50</f>
        <v>0</v>
      </c>
      <c r="L50" s="84"/>
      <c r="Y50" s="40">
        <f>IF(AP50="5",BI50,0)</f>
        <v>0</v>
      </c>
      <c r="AA50" s="40">
        <f>IF(AP50="1",BG50,0)</f>
        <v>0</v>
      </c>
      <c r="AB50" s="40">
        <f>IF(AP50="1",BH50,0)</f>
        <v>0</v>
      </c>
      <c r="AC50" s="40">
        <f>IF(AP50="7",BG50,0)</f>
        <v>0</v>
      </c>
      <c r="AD50" s="40">
        <f>IF(AP50="7",BH50,0)</f>
        <v>0</v>
      </c>
      <c r="AE50" s="40">
        <f>IF(AP50="2",BG50,0)</f>
        <v>0</v>
      </c>
      <c r="AF50" s="40">
        <f>IF(AP50="2",BH50,0)</f>
        <v>0</v>
      </c>
      <c r="AG50" s="40">
        <f>IF(AP50="0",BI50,0)</f>
        <v>0</v>
      </c>
      <c r="AH50" s="68" t="s">
        <v>84</v>
      </c>
      <c r="AI50" s="64">
        <f>IF(AM50=0,K50,0)</f>
        <v>0</v>
      </c>
      <c r="AJ50" s="64">
        <f>IF(AM50=15,K50,0)</f>
        <v>0</v>
      </c>
      <c r="AK50" s="64">
        <f>IF(AM50=21,K50,0)</f>
        <v>0</v>
      </c>
      <c r="AM50" s="40">
        <v>21</v>
      </c>
      <c r="AN50" s="40">
        <f>H50*0.760696298469512</f>
        <v>0</v>
      </c>
      <c r="AO50" s="40">
        <f>H50*(1-0.760696298469512)</f>
        <v>0</v>
      </c>
      <c r="AP50" s="69" t="s">
        <v>91</v>
      </c>
      <c r="AU50" s="40">
        <f>AV50+AW50</f>
        <v>0</v>
      </c>
      <c r="AV50" s="40">
        <f>G50*AN50</f>
        <v>0</v>
      </c>
      <c r="AW50" s="40">
        <f>G50*AO50</f>
        <v>0</v>
      </c>
      <c r="AX50" s="71" t="s">
        <v>365</v>
      </c>
      <c r="AY50" s="71" t="s">
        <v>381</v>
      </c>
      <c r="AZ50" s="68" t="s">
        <v>392</v>
      </c>
      <c r="BB50" s="40">
        <f>AV50+AW50</f>
        <v>0</v>
      </c>
      <c r="BC50" s="40">
        <f>H50/(100-BD50)*100</f>
        <v>0</v>
      </c>
      <c r="BD50" s="40">
        <v>0</v>
      </c>
      <c r="BE50" s="40">
        <f>50</f>
        <v>50</v>
      </c>
      <c r="BG50" s="64">
        <f>G50*AN50</f>
        <v>0</v>
      </c>
      <c r="BH50" s="64">
        <f>G50*AO50</f>
        <v>0</v>
      </c>
      <c r="BI50" s="64">
        <f>G50*H50</f>
        <v>0</v>
      </c>
      <c r="BJ50" s="64" t="s">
        <v>401</v>
      </c>
      <c r="BK50" s="40">
        <v>91</v>
      </c>
    </row>
    <row r="51" spans="1:12" ht="12.75">
      <c r="A51" s="18"/>
      <c r="B51" s="58" t="s">
        <v>189</v>
      </c>
      <c r="C51" s="183" t="s">
        <v>277</v>
      </c>
      <c r="D51" s="184"/>
      <c r="E51" s="184"/>
      <c r="F51" s="184"/>
      <c r="G51" s="184"/>
      <c r="H51" s="184"/>
      <c r="I51" s="184"/>
      <c r="J51" s="184"/>
      <c r="K51" s="184"/>
      <c r="L51" s="18"/>
    </row>
    <row r="52" spans="1:63" ht="12.75">
      <c r="A52" s="87" t="s">
        <v>129</v>
      </c>
      <c r="B52" s="87" t="s">
        <v>190</v>
      </c>
      <c r="C52" s="189" t="s">
        <v>278</v>
      </c>
      <c r="D52" s="180"/>
      <c r="E52" s="190"/>
      <c r="F52" s="87" t="s">
        <v>333</v>
      </c>
      <c r="G52" s="88">
        <v>2.57</v>
      </c>
      <c r="H52" s="88">
        <v>0</v>
      </c>
      <c r="I52" s="88">
        <f>G52*AN52</f>
        <v>0</v>
      </c>
      <c r="J52" s="88">
        <f>G52*AO52</f>
        <v>0</v>
      </c>
      <c r="K52" s="88">
        <f>G52*H52</f>
        <v>0</v>
      </c>
      <c r="L52" s="84"/>
      <c r="Y52" s="40">
        <f>IF(AP52="5",BI52,0)</f>
        <v>0</v>
      </c>
      <c r="AA52" s="40">
        <f>IF(AP52="1",BG52,0)</f>
        <v>0</v>
      </c>
      <c r="AB52" s="40">
        <f>IF(AP52="1",BH52,0)</f>
        <v>0</v>
      </c>
      <c r="AC52" s="40">
        <f>IF(AP52="7",BG52,0)</f>
        <v>0</v>
      </c>
      <c r="AD52" s="40">
        <f>IF(AP52="7",BH52,0)</f>
        <v>0</v>
      </c>
      <c r="AE52" s="40">
        <f>IF(AP52="2",BG52,0)</f>
        <v>0</v>
      </c>
      <c r="AF52" s="40">
        <f>IF(AP52="2",BH52,0)</f>
        <v>0</v>
      </c>
      <c r="AG52" s="40">
        <f>IF(AP52="0",BI52,0)</f>
        <v>0</v>
      </c>
      <c r="AH52" s="68" t="s">
        <v>84</v>
      </c>
      <c r="AI52" s="64">
        <f>IF(AM52=0,K52,0)</f>
        <v>0</v>
      </c>
      <c r="AJ52" s="64">
        <f>IF(AM52=15,K52,0)</f>
        <v>0</v>
      </c>
      <c r="AK52" s="64">
        <f>IF(AM52=21,K52,0)</f>
        <v>0</v>
      </c>
      <c r="AM52" s="40">
        <v>21</v>
      </c>
      <c r="AN52" s="40">
        <f>H52*0</f>
        <v>0</v>
      </c>
      <c r="AO52" s="40">
        <f>H52*(1-0)</f>
        <v>0</v>
      </c>
      <c r="AP52" s="69" t="s">
        <v>93</v>
      </c>
      <c r="AU52" s="40">
        <f>AV52+AW52</f>
        <v>0</v>
      </c>
      <c r="AV52" s="40">
        <f>G52*AN52</f>
        <v>0</v>
      </c>
      <c r="AW52" s="40">
        <f>G52*AO52</f>
        <v>0</v>
      </c>
      <c r="AX52" s="71" t="s">
        <v>365</v>
      </c>
      <c r="AY52" s="71" t="s">
        <v>381</v>
      </c>
      <c r="AZ52" s="68" t="s">
        <v>392</v>
      </c>
      <c r="BB52" s="40">
        <f>AV52+AW52</f>
        <v>0</v>
      </c>
      <c r="BC52" s="40">
        <f>H52/(100-BD52)*100</f>
        <v>0</v>
      </c>
      <c r="BD52" s="40">
        <v>0</v>
      </c>
      <c r="BE52" s="40">
        <f>52</f>
        <v>52</v>
      </c>
      <c r="BG52" s="64">
        <f>G52*AN52</f>
        <v>0</v>
      </c>
      <c r="BH52" s="64">
        <f>G52*AO52</f>
        <v>0</v>
      </c>
      <c r="BI52" s="64">
        <f>G52*H52</f>
        <v>0</v>
      </c>
      <c r="BJ52" s="64" t="s">
        <v>401</v>
      </c>
      <c r="BK52" s="40">
        <v>91</v>
      </c>
    </row>
    <row r="53" spans="1:12" ht="12.75">
      <c r="A53" s="52"/>
      <c r="B53" s="59"/>
      <c r="C53" s="187" t="s">
        <v>73</v>
      </c>
      <c r="D53" s="188"/>
      <c r="E53" s="188"/>
      <c r="F53" s="62" t="s">
        <v>70</v>
      </c>
      <c r="G53" s="62" t="s">
        <v>70</v>
      </c>
      <c r="H53" s="62" t="s">
        <v>70</v>
      </c>
      <c r="I53" s="74">
        <f>I54</f>
        <v>0</v>
      </c>
      <c r="J53" s="74">
        <f>J54</f>
        <v>0</v>
      </c>
      <c r="K53" s="74">
        <f>K54</f>
        <v>0</v>
      </c>
      <c r="L53" s="18"/>
    </row>
    <row r="54" spans="1:46" ht="12.75">
      <c r="A54" s="49"/>
      <c r="B54" s="55" t="s">
        <v>191</v>
      </c>
      <c r="C54" s="181" t="s">
        <v>279</v>
      </c>
      <c r="D54" s="182"/>
      <c r="E54" s="182"/>
      <c r="F54" s="61" t="s">
        <v>70</v>
      </c>
      <c r="G54" s="61" t="s">
        <v>70</v>
      </c>
      <c r="H54" s="61" t="s">
        <v>70</v>
      </c>
      <c r="I54" s="73">
        <f>SUM(I55:I57)</f>
        <v>0</v>
      </c>
      <c r="J54" s="73">
        <f>SUM(J55:J57)</f>
        <v>0</v>
      </c>
      <c r="K54" s="73">
        <f>SUM(K55:K57)</f>
        <v>0</v>
      </c>
      <c r="L54" s="18"/>
      <c r="AH54" s="68" t="s">
        <v>85</v>
      </c>
      <c r="AR54" s="73">
        <f>SUM(AI55:AI57)</f>
        <v>0</v>
      </c>
      <c r="AS54" s="73">
        <f>SUM(AJ55:AJ57)</f>
        <v>0</v>
      </c>
      <c r="AT54" s="73">
        <f>SUM(AK55:AK57)</f>
        <v>0</v>
      </c>
    </row>
    <row r="55" spans="1:63" ht="12.75">
      <c r="A55" s="51" t="s">
        <v>130</v>
      </c>
      <c r="B55" s="57" t="s">
        <v>192</v>
      </c>
      <c r="C55" s="185" t="s">
        <v>280</v>
      </c>
      <c r="D55" s="186"/>
      <c r="E55" s="186"/>
      <c r="F55" s="57" t="s">
        <v>334</v>
      </c>
      <c r="G55" s="65">
        <v>1</v>
      </c>
      <c r="H55" s="65">
        <v>0</v>
      </c>
      <c r="I55" s="65">
        <f>G55*AN55</f>
        <v>0</v>
      </c>
      <c r="J55" s="65">
        <f>G55*AO55</f>
        <v>0</v>
      </c>
      <c r="K55" s="65">
        <f>G55*H55</f>
        <v>0</v>
      </c>
      <c r="L55" s="18"/>
      <c r="Y55" s="40">
        <f>IF(AP55="5",BI55,0)</f>
        <v>0</v>
      </c>
      <c r="AA55" s="40">
        <f>IF(AP55="1",BG55,0)</f>
        <v>0</v>
      </c>
      <c r="AB55" s="40">
        <f>IF(AP55="1",BH55,0)</f>
        <v>0</v>
      </c>
      <c r="AC55" s="40">
        <f>IF(AP55="7",BG55,0)</f>
        <v>0</v>
      </c>
      <c r="AD55" s="40">
        <f>IF(AP55="7",BH55,0)</f>
        <v>0</v>
      </c>
      <c r="AE55" s="40">
        <f>IF(AP55="2",BG55,0)</f>
        <v>0</v>
      </c>
      <c r="AF55" s="40">
        <f>IF(AP55="2",BH55,0)</f>
        <v>0</v>
      </c>
      <c r="AG55" s="40">
        <f>IF(AP55="0",BI55,0)</f>
        <v>0</v>
      </c>
      <c r="AH55" s="68" t="s">
        <v>85</v>
      </c>
      <c r="AI55" s="65">
        <f>IF(AM55=0,K55,0)</f>
        <v>0</v>
      </c>
      <c r="AJ55" s="65">
        <f>IF(AM55=15,K55,0)</f>
        <v>0</v>
      </c>
      <c r="AK55" s="65">
        <f>IF(AM55=21,K55,0)</f>
        <v>0</v>
      </c>
      <c r="AM55" s="40">
        <v>21</v>
      </c>
      <c r="AN55" s="40">
        <f>H55*1</f>
        <v>0</v>
      </c>
      <c r="AO55" s="40">
        <f>H55*(1-1)</f>
        <v>0</v>
      </c>
      <c r="AP55" s="70" t="s">
        <v>112</v>
      </c>
      <c r="AU55" s="40">
        <f>AV55+AW55</f>
        <v>0</v>
      </c>
      <c r="AV55" s="40">
        <f>G55*AN55</f>
        <v>0</v>
      </c>
      <c r="AW55" s="40">
        <f>G55*AO55</f>
        <v>0</v>
      </c>
      <c r="AX55" s="71" t="s">
        <v>366</v>
      </c>
      <c r="AY55" s="71" t="s">
        <v>382</v>
      </c>
      <c r="AZ55" s="68" t="s">
        <v>393</v>
      </c>
      <c r="BB55" s="40">
        <f>AV55+AW55</f>
        <v>0</v>
      </c>
      <c r="BC55" s="40">
        <f>H55/(100-BD55)*100</f>
        <v>0</v>
      </c>
      <c r="BD55" s="40">
        <v>0</v>
      </c>
      <c r="BE55" s="40">
        <f>55</f>
        <v>55</v>
      </c>
      <c r="BG55" s="65">
        <f>G55*AN55</f>
        <v>0</v>
      </c>
      <c r="BH55" s="65">
        <f>G55*AO55</f>
        <v>0</v>
      </c>
      <c r="BI55" s="65">
        <f>G55*H55</f>
        <v>0</v>
      </c>
      <c r="BJ55" s="65" t="s">
        <v>219</v>
      </c>
      <c r="BK55" s="40">
        <v>766</v>
      </c>
    </row>
    <row r="56" spans="1:63" ht="12.75">
      <c r="A56" s="51" t="s">
        <v>131</v>
      </c>
      <c r="B56" s="57" t="s">
        <v>193</v>
      </c>
      <c r="C56" s="185" t="s">
        <v>281</v>
      </c>
      <c r="D56" s="186"/>
      <c r="E56" s="186"/>
      <c r="F56" s="57" t="s">
        <v>334</v>
      </c>
      <c r="G56" s="65">
        <v>1</v>
      </c>
      <c r="H56" s="65">
        <v>0</v>
      </c>
      <c r="I56" s="65">
        <f>G56*AN56</f>
        <v>0</v>
      </c>
      <c r="J56" s="65">
        <f>G56*AO56</f>
        <v>0</v>
      </c>
      <c r="K56" s="65">
        <f>G56*H56</f>
        <v>0</v>
      </c>
      <c r="L56" s="18"/>
      <c r="Y56" s="40">
        <f>IF(AP56="5",BI56,0)</f>
        <v>0</v>
      </c>
      <c r="AA56" s="40">
        <f>IF(AP56="1",BG56,0)</f>
        <v>0</v>
      </c>
      <c r="AB56" s="40">
        <f>IF(AP56="1",BH56,0)</f>
        <v>0</v>
      </c>
      <c r="AC56" s="40">
        <f>IF(AP56="7",BG56,0)</f>
        <v>0</v>
      </c>
      <c r="AD56" s="40">
        <f>IF(AP56="7",BH56,0)</f>
        <v>0</v>
      </c>
      <c r="AE56" s="40">
        <f>IF(AP56="2",BG56,0)</f>
        <v>0</v>
      </c>
      <c r="AF56" s="40">
        <f>IF(AP56="2",BH56,0)</f>
        <v>0</v>
      </c>
      <c r="AG56" s="40">
        <f>IF(AP56="0",BI56,0)</f>
        <v>0</v>
      </c>
      <c r="AH56" s="68" t="s">
        <v>85</v>
      </c>
      <c r="AI56" s="65">
        <f>IF(AM56=0,K56,0)</f>
        <v>0</v>
      </c>
      <c r="AJ56" s="65">
        <f>IF(AM56=15,K56,0)</f>
        <v>0</v>
      </c>
      <c r="AK56" s="65">
        <f>IF(AM56=21,K56,0)</f>
        <v>0</v>
      </c>
      <c r="AM56" s="40">
        <v>21</v>
      </c>
      <c r="AN56" s="40">
        <f>H56*1</f>
        <v>0</v>
      </c>
      <c r="AO56" s="40">
        <f>H56*(1-1)</f>
        <v>0</v>
      </c>
      <c r="AP56" s="70" t="s">
        <v>112</v>
      </c>
      <c r="AU56" s="40">
        <f>AV56+AW56</f>
        <v>0</v>
      </c>
      <c r="AV56" s="40">
        <f>G56*AN56</f>
        <v>0</v>
      </c>
      <c r="AW56" s="40">
        <f>G56*AO56</f>
        <v>0</v>
      </c>
      <c r="AX56" s="71" t="s">
        <v>366</v>
      </c>
      <c r="AY56" s="71" t="s">
        <v>382</v>
      </c>
      <c r="AZ56" s="68" t="s">
        <v>393</v>
      </c>
      <c r="BB56" s="40">
        <f>AV56+AW56</f>
        <v>0</v>
      </c>
      <c r="BC56" s="40">
        <f>H56/(100-BD56)*100</f>
        <v>0</v>
      </c>
      <c r="BD56" s="40">
        <v>0</v>
      </c>
      <c r="BE56" s="40">
        <f>56</f>
        <v>56</v>
      </c>
      <c r="BG56" s="65">
        <f>G56*AN56</f>
        <v>0</v>
      </c>
      <c r="BH56" s="65">
        <f>G56*AO56</f>
        <v>0</v>
      </c>
      <c r="BI56" s="65">
        <f>G56*H56</f>
        <v>0</v>
      </c>
      <c r="BJ56" s="65" t="s">
        <v>219</v>
      </c>
      <c r="BK56" s="40">
        <v>766</v>
      </c>
    </row>
    <row r="57" spans="1:63" ht="12.75">
      <c r="A57" s="51" t="s">
        <v>132</v>
      </c>
      <c r="B57" s="57" t="s">
        <v>194</v>
      </c>
      <c r="C57" s="185" t="s">
        <v>282</v>
      </c>
      <c r="D57" s="186"/>
      <c r="E57" s="186"/>
      <c r="F57" s="57" t="s">
        <v>334</v>
      </c>
      <c r="G57" s="65">
        <v>1</v>
      </c>
      <c r="H57" s="65">
        <v>0</v>
      </c>
      <c r="I57" s="65">
        <f>G57*AN57</f>
        <v>0</v>
      </c>
      <c r="J57" s="65">
        <f>G57*AO57</f>
        <v>0</v>
      </c>
      <c r="K57" s="65">
        <f>G57*H57</f>
        <v>0</v>
      </c>
      <c r="L57" s="18"/>
      <c r="Y57" s="40">
        <f>IF(AP57="5",BI57,0)</f>
        <v>0</v>
      </c>
      <c r="AA57" s="40">
        <f>IF(AP57="1",BG57,0)</f>
        <v>0</v>
      </c>
      <c r="AB57" s="40">
        <f>IF(AP57="1",BH57,0)</f>
        <v>0</v>
      </c>
      <c r="AC57" s="40">
        <f>IF(AP57="7",BG57,0)</f>
        <v>0</v>
      </c>
      <c r="AD57" s="40">
        <f>IF(AP57="7",BH57,0)</f>
        <v>0</v>
      </c>
      <c r="AE57" s="40">
        <f>IF(AP57="2",BG57,0)</f>
        <v>0</v>
      </c>
      <c r="AF57" s="40">
        <f>IF(AP57="2",BH57,0)</f>
        <v>0</v>
      </c>
      <c r="AG57" s="40">
        <f>IF(AP57="0",BI57,0)</f>
        <v>0</v>
      </c>
      <c r="AH57" s="68" t="s">
        <v>85</v>
      </c>
      <c r="AI57" s="65">
        <f>IF(AM57=0,K57,0)</f>
        <v>0</v>
      </c>
      <c r="AJ57" s="65">
        <f>IF(AM57=15,K57,0)</f>
        <v>0</v>
      </c>
      <c r="AK57" s="65">
        <f>IF(AM57=21,K57,0)</f>
        <v>0</v>
      </c>
      <c r="AM57" s="40">
        <v>21</v>
      </c>
      <c r="AN57" s="40">
        <f>H57*1</f>
        <v>0</v>
      </c>
      <c r="AO57" s="40">
        <f>H57*(1-1)</f>
        <v>0</v>
      </c>
      <c r="AP57" s="70" t="s">
        <v>112</v>
      </c>
      <c r="AU57" s="40">
        <f>AV57+AW57</f>
        <v>0</v>
      </c>
      <c r="AV57" s="40">
        <f>G57*AN57</f>
        <v>0</v>
      </c>
      <c r="AW57" s="40">
        <f>G57*AO57</f>
        <v>0</v>
      </c>
      <c r="AX57" s="71" t="s">
        <v>366</v>
      </c>
      <c r="AY57" s="71" t="s">
        <v>382</v>
      </c>
      <c r="AZ57" s="68" t="s">
        <v>393</v>
      </c>
      <c r="BB57" s="40">
        <f>AV57+AW57</f>
        <v>0</v>
      </c>
      <c r="BC57" s="40">
        <f>H57/(100-BD57)*100</f>
        <v>0</v>
      </c>
      <c r="BD57" s="40">
        <v>0</v>
      </c>
      <c r="BE57" s="40">
        <f>57</f>
        <v>57</v>
      </c>
      <c r="BG57" s="65">
        <f>G57*AN57</f>
        <v>0</v>
      </c>
      <c r="BH57" s="65">
        <f>G57*AO57</f>
        <v>0</v>
      </c>
      <c r="BI57" s="65">
        <f>G57*H57</f>
        <v>0</v>
      </c>
      <c r="BJ57" s="65" t="s">
        <v>219</v>
      </c>
      <c r="BK57" s="40">
        <v>766</v>
      </c>
    </row>
    <row r="58" spans="1:12" ht="12.75">
      <c r="A58" s="52"/>
      <c r="B58" s="59"/>
      <c r="C58" s="187" t="s">
        <v>74</v>
      </c>
      <c r="D58" s="188"/>
      <c r="E58" s="188"/>
      <c r="F58" s="62" t="s">
        <v>70</v>
      </c>
      <c r="G58" s="62" t="s">
        <v>70</v>
      </c>
      <c r="H58" s="62" t="s">
        <v>70</v>
      </c>
      <c r="I58" s="74">
        <f>I59+I61+I66+I70+I74+I76+I85+I88+I90+I92</f>
        <v>0</v>
      </c>
      <c r="J58" s="74">
        <f>J59+J61+J66+J70+J74+J76+J85+J88+J90+J92</f>
        <v>0</v>
      </c>
      <c r="K58" s="74">
        <f>K59+K61+K66+K70+K74+K76+K85+K88+K90+K92</f>
        <v>0</v>
      </c>
      <c r="L58" s="18"/>
    </row>
    <row r="59" spans="1:46" ht="12.75">
      <c r="A59" s="49"/>
      <c r="B59" s="55" t="s">
        <v>164</v>
      </c>
      <c r="C59" s="181" t="s">
        <v>242</v>
      </c>
      <c r="D59" s="182"/>
      <c r="E59" s="182"/>
      <c r="F59" s="61" t="s">
        <v>70</v>
      </c>
      <c r="G59" s="61" t="s">
        <v>70</v>
      </c>
      <c r="H59" s="61" t="s">
        <v>70</v>
      </c>
      <c r="I59" s="73">
        <f>SUM(I60:I60)</f>
        <v>0</v>
      </c>
      <c r="J59" s="73">
        <f>SUM(J60:J60)</f>
        <v>0</v>
      </c>
      <c r="K59" s="73">
        <f>SUM(K60:K60)</f>
        <v>0</v>
      </c>
      <c r="L59" s="18"/>
      <c r="AH59" s="68" t="s">
        <v>86</v>
      </c>
      <c r="AR59" s="73">
        <f>SUM(AI60:AI60)</f>
        <v>0</v>
      </c>
      <c r="AS59" s="73">
        <f>SUM(AJ60:AJ60)</f>
        <v>0</v>
      </c>
      <c r="AT59" s="73">
        <f>SUM(AK60:AK60)</f>
        <v>0</v>
      </c>
    </row>
    <row r="60" spans="1:63" ht="12.75">
      <c r="A60" s="50" t="s">
        <v>133</v>
      </c>
      <c r="B60" s="56" t="s">
        <v>195</v>
      </c>
      <c r="C60" s="179" t="s">
        <v>283</v>
      </c>
      <c r="D60" s="180"/>
      <c r="E60" s="180"/>
      <c r="F60" s="56" t="s">
        <v>331</v>
      </c>
      <c r="G60" s="64">
        <v>1</v>
      </c>
      <c r="H60" s="64">
        <v>0</v>
      </c>
      <c r="I60" s="64">
        <f>G60*AN60</f>
        <v>0</v>
      </c>
      <c r="J60" s="64">
        <f>G60*AO60</f>
        <v>0</v>
      </c>
      <c r="K60" s="64">
        <f>G60*H60</f>
        <v>0</v>
      </c>
      <c r="L60" s="18"/>
      <c r="Y60" s="40">
        <f>IF(AP60="5",BI60,0)</f>
        <v>0</v>
      </c>
      <c r="AA60" s="40">
        <f>IF(AP60="1",BG60,0)</f>
        <v>0</v>
      </c>
      <c r="AB60" s="40">
        <f>IF(AP60="1",BH60,0)</f>
        <v>0</v>
      </c>
      <c r="AC60" s="40">
        <f>IF(AP60="7",BG60,0)</f>
        <v>0</v>
      </c>
      <c r="AD60" s="40">
        <f>IF(AP60="7",BH60,0)</f>
        <v>0</v>
      </c>
      <c r="AE60" s="40">
        <f>IF(AP60="2",BG60,0)</f>
        <v>0</v>
      </c>
      <c r="AF60" s="40">
        <f>IF(AP60="2",BH60,0)</f>
        <v>0</v>
      </c>
      <c r="AG60" s="40">
        <f>IF(AP60="0",BI60,0)</f>
        <v>0</v>
      </c>
      <c r="AH60" s="68" t="s">
        <v>86</v>
      </c>
      <c r="AI60" s="64">
        <f>IF(AM60=0,K60,0)</f>
        <v>0</v>
      </c>
      <c r="AJ60" s="64">
        <f>IF(AM60=15,K60,0)</f>
        <v>0</v>
      </c>
      <c r="AK60" s="64">
        <f>IF(AM60=21,K60,0)</f>
        <v>0</v>
      </c>
      <c r="AM60" s="40">
        <v>21</v>
      </c>
      <c r="AN60" s="40">
        <f>H60*0</f>
        <v>0</v>
      </c>
      <c r="AO60" s="40">
        <f>H60*(1-0)</f>
        <v>0</v>
      </c>
      <c r="AP60" s="69" t="s">
        <v>91</v>
      </c>
      <c r="AU60" s="40">
        <f>AV60+AW60</f>
        <v>0</v>
      </c>
      <c r="AV60" s="40">
        <f>G60*AN60</f>
        <v>0</v>
      </c>
      <c r="AW60" s="40">
        <f>G60*AO60</f>
        <v>0</v>
      </c>
      <c r="AX60" s="71" t="s">
        <v>354</v>
      </c>
      <c r="AY60" s="71" t="s">
        <v>383</v>
      </c>
      <c r="AZ60" s="68" t="s">
        <v>394</v>
      </c>
      <c r="BB60" s="40">
        <f>AV60+AW60</f>
        <v>0</v>
      </c>
      <c r="BC60" s="40">
        <f>H60/(100-BD60)*100</f>
        <v>0</v>
      </c>
      <c r="BD60" s="40">
        <v>0</v>
      </c>
      <c r="BE60" s="40">
        <f>60</f>
        <v>60</v>
      </c>
      <c r="BG60" s="64">
        <f>G60*AN60</f>
        <v>0</v>
      </c>
      <c r="BH60" s="64">
        <f>G60*AO60</f>
        <v>0</v>
      </c>
      <c r="BI60" s="64">
        <f>G60*H60</f>
        <v>0</v>
      </c>
      <c r="BJ60" s="64" t="s">
        <v>401</v>
      </c>
      <c r="BK60" s="40">
        <v>111</v>
      </c>
    </row>
    <row r="61" spans="1:46" ht="12.75">
      <c r="A61" s="49"/>
      <c r="B61" s="55" t="s">
        <v>116</v>
      </c>
      <c r="C61" s="181" t="s">
        <v>247</v>
      </c>
      <c r="D61" s="182"/>
      <c r="E61" s="182"/>
      <c r="F61" s="61" t="s">
        <v>70</v>
      </c>
      <c r="G61" s="61" t="s">
        <v>70</v>
      </c>
      <c r="H61" s="61" t="s">
        <v>70</v>
      </c>
      <c r="I61" s="73">
        <f>SUM(I62:I65)</f>
        <v>0</v>
      </c>
      <c r="J61" s="73">
        <f>SUM(J62:J65)</f>
        <v>0</v>
      </c>
      <c r="K61" s="73">
        <f>SUM(K62:K65)</f>
        <v>0</v>
      </c>
      <c r="L61" s="18"/>
      <c r="AH61" s="68" t="s">
        <v>86</v>
      </c>
      <c r="AR61" s="73">
        <f>SUM(AI62:AI65)</f>
        <v>0</v>
      </c>
      <c r="AS61" s="73">
        <f>SUM(AJ62:AJ65)</f>
        <v>0</v>
      </c>
      <c r="AT61" s="73">
        <f>SUM(AK62:AK65)</f>
        <v>0</v>
      </c>
    </row>
    <row r="62" spans="1:63" ht="12.75">
      <c r="A62" s="50" t="s">
        <v>134</v>
      </c>
      <c r="B62" s="56" t="s">
        <v>196</v>
      </c>
      <c r="C62" s="179" t="s">
        <v>284</v>
      </c>
      <c r="D62" s="180"/>
      <c r="E62" s="180"/>
      <c r="F62" s="56" t="s">
        <v>332</v>
      </c>
      <c r="G62" s="64">
        <v>13.56</v>
      </c>
      <c r="H62" s="64">
        <v>0</v>
      </c>
      <c r="I62" s="64">
        <f>G62*AN62</f>
        <v>0</v>
      </c>
      <c r="J62" s="64">
        <f>G62*AO62</f>
        <v>0</v>
      </c>
      <c r="K62" s="64">
        <f>G62*H62</f>
        <v>0</v>
      </c>
      <c r="L62" s="18"/>
      <c r="Y62" s="40">
        <f>IF(AP62="5",BI62,0)</f>
        <v>0</v>
      </c>
      <c r="AA62" s="40">
        <f>IF(AP62="1",BG62,0)</f>
        <v>0</v>
      </c>
      <c r="AB62" s="40">
        <f>IF(AP62="1",BH62,0)</f>
        <v>0</v>
      </c>
      <c r="AC62" s="40">
        <f>IF(AP62="7",BG62,0)</f>
        <v>0</v>
      </c>
      <c r="AD62" s="40">
        <f>IF(AP62="7",BH62,0)</f>
        <v>0</v>
      </c>
      <c r="AE62" s="40">
        <f>IF(AP62="2",BG62,0)</f>
        <v>0</v>
      </c>
      <c r="AF62" s="40">
        <f>IF(AP62="2",BH62,0)</f>
        <v>0</v>
      </c>
      <c r="AG62" s="40">
        <f>IF(AP62="0",BI62,0)</f>
        <v>0</v>
      </c>
      <c r="AH62" s="68" t="s">
        <v>86</v>
      </c>
      <c r="AI62" s="64">
        <f>IF(AM62=0,K62,0)</f>
        <v>0</v>
      </c>
      <c r="AJ62" s="64">
        <f>IF(AM62=15,K62,0)</f>
        <v>0</v>
      </c>
      <c r="AK62" s="64">
        <f>IF(AM62=21,K62,0)</f>
        <v>0</v>
      </c>
      <c r="AM62" s="40">
        <v>21</v>
      </c>
      <c r="AN62" s="40">
        <f>H62*0</f>
        <v>0</v>
      </c>
      <c r="AO62" s="40">
        <f>H62*(1-0)</f>
        <v>0</v>
      </c>
      <c r="AP62" s="69" t="s">
        <v>91</v>
      </c>
      <c r="AU62" s="40">
        <f>AV62+AW62</f>
        <v>0</v>
      </c>
      <c r="AV62" s="40">
        <f>G62*AN62</f>
        <v>0</v>
      </c>
      <c r="AW62" s="40">
        <f>G62*AO62</f>
        <v>0</v>
      </c>
      <c r="AX62" s="71" t="s">
        <v>356</v>
      </c>
      <c r="AY62" s="71" t="s">
        <v>383</v>
      </c>
      <c r="AZ62" s="68" t="s">
        <v>394</v>
      </c>
      <c r="BB62" s="40">
        <f>AV62+AW62</f>
        <v>0</v>
      </c>
      <c r="BC62" s="40">
        <f>H62/(100-BD62)*100</f>
        <v>0</v>
      </c>
      <c r="BD62" s="40">
        <v>0</v>
      </c>
      <c r="BE62" s="40">
        <f>62</f>
        <v>62</v>
      </c>
      <c r="BG62" s="64">
        <f>G62*AN62</f>
        <v>0</v>
      </c>
      <c r="BH62" s="64">
        <f>G62*AO62</f>
        <v>0</v>
      </c>
      <c r="BI62" s="64">
        <f>G62*H62</f>
        <v>0</v>
      </c>
      <c r="BJ62" s="64" t="s">
        <v>401</v>
      </c>
      <c r="BK62" s="40">
        <v>13</v>
      </c>
    </row>
    <row r="63" spans="1:63" ht="12.75">
      <c r="A63" s="50" t="s">
        <v>135</v>
      </c>
      <c r="B63" s="56" t="s">
        <v>197</v>
      </c>
      <c r="C63" s="179" t="s">
        <v>285</v>
      </c>
      <c r="D63" s="180"/>
      <c r="E63" s="180"/>
      <c r="F63" s="56" t="s">
        <v>332</v>
      </c>
      <c r="G63" s="64">
        <v>4.52</v>
      </c>
      <c r="H63" s="64">
        <v>0</v>
      </c>
      <c r="I63" s="64">
        <f>G63*AN63</f>
        <v>0</v>
      </c>
      <c r="J63" s="64">
        <f>G63*AO63</f>
        <v>0</v>
      </c>
      <c r="K63" s="64">
        <f>G63*H63</f>
        <v>0</v>
      </c>
      <c r="L63" s="18"/>
      <c r="Y63" s="40">
        <f>IF(AP63="5",BI63,0)</f>
        <v>0</v>
      </c>
      <c r="AA63" s="40">
        <f>IF(AP63="1",BG63,0)</f>
        <v>0</v>
      </c>
      <c r="AB63" s="40">
        <f>IF(AP63="1",BH63,0)</f>
        <v>0</v>
      </c>
      <c r="AC63" s="40">
        <f>IF(AP63="7",BG63,0)</f>
        <v>0</v>
      </c>
      <c r="AD63" s="40">
        <f>IF(AP63="7",BH63,0)</f>
        <v>0</v>
      </c>
      <c r="AE63" s="40">
        <f>IF(AP63="2",BG63,0)</f>
        <v>0</v>
      </c>
      <c r="AF63" s="40">
        <f>IF(AP63="2",BH63,0)</f>
        <v>0</v>
      </c>
      <c r="AG63" s="40">
        <f>IF(AP63="0",BI63,0)</f>
        <v>0</v>
      </c>
      <c r="AH63" s="68" t="s">
        <v>86</v>
      </c>
      <c r="AI63" s="64">
        <f>IF(AM63=0,K63,0)</f>
        <v>0</v>
      </c>
      <c r="AJ63" s="64">
        <f>IF(AM63=15,K63,0)</f>
        <v>0</v>
      </c>
      <c r="AK63" s="64">
        <f>IF(AM63=21,K63,0)</f>
        <v>0</v>
      </c>
      <c r="AM63" s="40">
        <v>21</v>
      </c>
      <c r="AN63" s="40">
        <f>H63*0</f>
        <v>0</v>
      </c>
      <c r="AO63" s="40">
        <f>H63*(1-0)</f>
        <v>0</v>
      </c>
      <c r="AP63" s="69" t="s">
        <v>91</v>
      </c>
      <c r="AU63" s="40">
        <f>AV63+AW63</f>
        <v>0</v>
      </c>
      <c r="AV63" s="40">
        <f>G63*AN63</f>
        <v>0</v>
      </c>
      <c r="AW63" s="40">
        <f>G63*AO63</f>
        <v>0</v>
      </c>
      <c r="AX63" s="71" t="s">
        <v>356</v>
      </c>
      <c r="AY63" s="71" t="s">
        <v>383</v>
      </c>
      <c r="AZ63" s="68" t="s">
        <v>394</v>
      </c>
      <c r="BB63" s="40">
        <f>AV63+AW63</f>
        <v>0</v>
      </c>
      <c r="BC63" s="40">
        <f>H63/(100-BD63)*100</f>
        <v>0</v>
      </c>
      <c r="BD63" s="40">
        <v>0</v>
      </c>
      <c r="BE63" s="40">
        <f>63</f>
        <v>63</v>
      </c>
      <c r="BG63" s="64">
        <f>G63*AN63</f>
        <v>0</v>
      </c>
      <c r="BH63" s="64">
        <f>G63*AO63</f>
        <v>0</v>
      </c>
      <c r="BI63" s="64">
        <f>G63*H63</f>
        <v>0</v>
      </c>
      <c r="BJ63" s="64" t="s">
        <v>401</v>
      </c>
      <c r="BK63" s="40">
        <v>13</v>
      </c>
    </row>
    <row r="64" spans="1:63" ht="12.75">
      <c r="A64" s="50" t="s">
        <v>136</v>
      </c>
      <c r="B64" s="56" t="s">
        <v>198</v>
      </c>
      <c r="C64" s="179" t="s">
        <v>286</v>
      </c>
      <c r="D64" s="180"/>
      <c r="E64" s="180"/>
      <c r="F64" s="56" t="s">
        <v>332</v>
      </c>
      <c r="G64" s="64">
        <v>5.12</v>
      </c>
      <c r="H64" s="64">
        <v>0</v>
      </c>
      <c r="I64" s="64">
        <f>G64*AN64</f>
        <v>0</v>
      </c>
      <c r="J64" s="64">
        <f>G64*AO64</f>
        <v>0</v>
      </c>
      <c r="K64" s="64">
        <f>G64*H64</f>
        <v>0</v>
      </c>
      <c r="L64" s="18"/>
      <c r="Y64" s="40">
        <f>IF(AP64="5",BI64,0)</f>
        <v>0</v>
      </c>
      <c r="AA64" s="40">
        <f>IF(AP64="1",BG64,0)</f>
        <v>0</v>
      </c>
      <c r="AB64" s="40">
        <f>IF(AP64="1",BH64,0)</f>
        <v>0</v>
      </c>
      <c r="AC64" s="40">
        <f>IF(AP64="7",BG64,0)</f>
        <v>0</v>
      </c>
      <c r="AD64" s="40">
        <f>IF(AP64="7",BH64,0)</f>
        <v>0</v>
      </c>
      <c r="AE64" s="40">
        <f>IF(AP64="2",BG64,0)</f>
        <v>0</v>
      </c>
      <c r="AF64" s="40">
        <f>IF(AP64="2",BH64,0)</f>
        <v>0</v>
      </c>
      <c r="AG64" s="40">
        <f>IF(AP64="0",BI64,0)</f>
        <v>0</v>
      </c>
      <c r="AH64" s="68" t="s">
        <v>86</v>
      </c>
      <c r="AI64" s="64">
        <f>IF(AM64=0,K64,0)</f>
        <v>0</v>
      </c>
      <c r="AJ64" s="64">
        <f>IF(AM64=15,K64,0)</f>
        <v>0</v>
      </c>
      <c r="AK64" s="64">
        <f>IF(AM64=21,K64,0)</f>
        <v>0</v>
      </c>
      <c r="AM64" s="40">
        <v>21</v>
      </c>
      <c r="AN64" s="40">
        <f>H64*0</f>
        <v>0</v>
      </c>
      <c r="AO64" s="40">
        <f>H64*(1-0)</f>
        <v>0</v>
      </c>
      <c r="AP64" s="69" t="s">
        <v>91</v>
      </c>
      <c r="AU64" s="40">
        <f>AV64+AW64</f>
        <v>0</v>
      </c>
      <c r="AV64" s="40">
        <f>G64*AN64</f>
        <v>0</v>
      </c>
      <c r="AW64" s="40">
        <f>G64*AO64</f>
        <v>0</v>
      </c>
      <c r="AX64" s="71" t="s">
        <v>356</v>
      </c>
      <c r="AY64" s="71" t="s">
        <v>383</v>
      </c>
      <c r="AZ64" s="68" t="s">
        <v>394</v>
      </c>
      <c r="BB64" s="40">
        <f>AV64+AW64</f>
        <v>0</v>
      </c>
      <c r="BC64" s="40">
        <f>H64/(100-BD64)*100</f>
        <v>0</v>
      </c>
      <c r="BD64" s="40">
        <v>0</v>
      </c>
      <c r="BE64" s="40">
        <f>64</f>
        <v>64</v>
      </c>
      <c r="BG64" s="64">
        <f>G64*AN64</f>
        <v>0</v>
      </c>
      <c r="BH64" s="64">
        <f>G64*AO64</f>
        <v>0</v>
      </c>
      <c r="BI64" s="64">
        <f>G64*H64</f>
        <v>0</v>
      </c>
      <c r="BJ64" s="64" t="s">
        <v>401</v>
      </c>
      <c r="BK64" s="40">
        <v>13</v>
      </c>
    </row>
    <row r="65" spans="1:63" ht="12.75">
      <c r="A65" s="50" t="s">
        <v>137</v>
      </c>
      <c r="B65" s="56" t="s">
        <v>199</v>
      </c>
      <c r="C65" s="179" t="s">
        <v>287</v>
      </c>
      <c r="D65" s="180"/>
      <c r="E65" s="180"/>
      <c r="F65" s="56" t="s">
        <v>332</v>
      </c>
      <c r="G65" s="64">
        <v>1.71</v>
      </c>
      <c r="H65" s="64">
        <v>0</v>
      </c>
      <c r="I65" s="64">
        <f>G65*AN65</f>
        <v>0</v>
      </c>
      <c r="J65" s="64">
        <f>G65*AO65</f>
        <v>0</v>
      </c>
      <c r="K65" s="64">
        <f>G65*H65</f>
        <v>0</v>
      </c>
      <c r="L65" s="18"/>
      <c r="Y65" s="40">
        <f>IF(AP65="5",BI65,0)</f>
        <v>0</v>
      </c>
      <c r="AA65" s="40">
        <f>IF(AP65="1",BG65,0)</f>
        <v>0</v>
      </c>
      <c r="AB65" s="40">
        <f>IF(AP65="1",BH65,0)</f>
        <v>0</v>
      </c>
      <c r="AC65" s="40">
        <f>IF(AP65="7",BG65,0)</f>
        <v>0</v>
      </c>
      <c r="AD65" s="40">
        <f>IF(AP65="7",BH65,0)</f>
        <v>0</v>
      </c>
      <c r="AE65" s="40">
        <f>IF(AP65="2",BG65,0)</f>
        <v>0</v>
      </c>
      <c r="AF65" s="40">
        <f>IF(AP65="2",BH65,0)</f>
        <v>0</v>
      </c>
      <c r="AG65" s="40">
        <f>IF(AP65="0",BI65,0)</f>
        <v>0</v>
      </c>
      <c r="AH65" s="68" t="s">
        <v>86</v>
      </c>
      <c r="AI65" s="64">
        <f>IF(AM65=0,K65,0)</f>
        <v>0</v>
      </c>
      <c r="AJ65" s="64">
        <f>IF(AM65=15,K65,0)</f>
        <v>0</v>
      </c>
      <c r="AK65" s="64">
        <f>IF(AM65=21,K65,0)</f>
        <v>0</v>
      </c>
      <c r="AM65" s="40">
        <v>21</v>
      </c>
      <c r="AN65" s="40">
        <f>H65*0</f>
        <v>0</v>
      </c>
      <c r="AO65" s="40">
        <f>H65*(1-0)</f>
        <v>0</v>
      </c>
      <c r="AP65" s="69" t="s">
        <v>91</v>
      </c>
      <c r="AU65" s="40">
        <f>AV65+AW65</f>
        <v>0</v>
      </c>
      <c r="AV65" s="40">
        <f>G65*AN65</f>
        <v>0</v>
      </c>
      <c r="AW65" s="40">
        <f>G65*AO65</f>
        <v>0</v>
      </c>
      <c r="AX65" s="71" t="s">
        <v>356</v>
      </c>
      <c r="AY65" s="71" t="s">
        <v>383</v>
      </c>
      <c r="AZ65" s="68" t="s">
        <v>394</v>
      </c>
      <c r="BB65" s="40">
        <f>AV65+AW65</f>
        <v>0</v>
      </c>
      <c r="BC65" s="40">
        <f>H65/(100-BD65)*100</f>
        <v>0</v>
      </c>
      <c r="BD65" s="40">
        <v>0</v>
      </c>
      <c r="BE65" s="40">
        <f>65</f>
        <v>65</v>
      </c>
      <c r="BG65" s="64">
        <f>G65*AN65</f>
        <v>0</v>
      </c>
      <c r="BH65" s="64">
        <f>G65*AO65</f>
        <v>0</v>
      </c>
      <c r="BI65" s="64">
        <f>G65*H65</f>
        <v>0</v>
      </c>
      <c r="BJ65" s="64" t="s">
        <v>401</v>
      </c>
      <c r="BK65" s="40">
        <v>13</v>
      </c>
    </row>
    <row r="66" spans="1:46" ht="12.75">
      <c r="A66" s="49"/>
      <c r="B66" s="55" t="s">
        <v>119</v>
      </c>
      <c r="C66" s="181" t="s">
        <v>250</v>
      </c>
      <c r="D66" s="182"/>
      <c r="E66" s="182"/>
      <c r="F66" s="61" t="s">
        <v>70</v>
      </c>
      <c r="G66" s="61" t="s">
        <v>70</v>
      </c>
      <c r="H66" s="61" t="s">
        <v>70</v>
      </c>
      <c r="I66" s="73">
        <f>SUM(I67:I69)</f>
        <v>0</v>
      </c>
      <c r="J66" s="73">
        <f>SUM(J67:J69)</f>
        <v>0</v>
      </c>
      <c r="K66" s="73">
        <f>SUM(K67:K69)</f>
        <v>0</v>
      </c>
      <c r="L66" s="18"/>
      <c r="AH66" s="68" t="s">
        <v>86</v>
      </c>
      <c r="AR66" s="73">
        <f>SUM(AI67:AI69)</f>
        <v>0</v>
      </c>
      <c r="AS66" s="73">
        <f>SUM(AJ67:AJ69)</f>
        <v>0</v>
      </c>
      <c r="AT66" s="73">
        <f>SUM(AK67:AK69)</f>
        <v>0</v>
      </c>
    </row>
    <row r="67" spans="1:63" ht="12.75">
      <c r="A67" s="50" t="s">
        <v>138</v>
      </c>
      <c r="B67" s="56" t="s">
        <v>200</v>
      </c>
      <c r="C67" s="179" t="s">
        <v>288</v>
      </c>
      <c r="D67" s="180"/>
      <c r="E67" s="180"/>
      <c r="F67" s="56" t="s">
        <v>332</v>
      </c>
      <c r="G67" s="64">
        <v>5.12</v>
      </c>
      <c r="H67" s="64">
        <v>0</v>
      </c>
      <c r="I67" s="64">
        <f>G67*AN67</f>
        <v>0</v>
      </c>
      <c r="J67" s="64">
        <f>G67*AO67</f>
        <v>0</v>
      </c>
      <c r="K67" s="64">
        <f>G67*H67</f>
        <v>0</v>
      </c>
      <c r="L67" s="18"/>
      <c r="Y67" s="40">
        <f>IF(AP67="5",BI67,0)</f>
        <v>0</v>
      </c>
      <c r="AA67" s="40">
        <f>IF(AP67="1",BG67,0)</f>
        <v>0</v>
      </c>
      <c r="AB67" s="40">
        <f>IF(AP67="1",BH67,0)</f>
        <v>0</v>
      </c>
      <c r="AC67" s="40">
        <f>IF(AP67="7",BG67,0)</f>
        <v>0</v>
      </c>
      <c r="AD67" s="40">
        <f>IF(AP67="7",BH67,0)</f>
        <v>0</v>
      </c>
      <c r="AE67" s="40">
        <f>IF(AP67="2",BG67,0)</f>
        <v>0</v>
      </c>
      <c r="AF67" s="40">
        <f>IF(AP67="2",BH67,0)</f>
        <v>0</v>
      </c>
      <c r="AG67" s="40">
        <f>IF(AP67="0",BI67,0)</f>
        <v>0</v>
      </c>
      <c r="AH67" s="68" t="s">
        <v>86</v>
      </c>
      <c r="AI67" s="64">
        <f>IF(AM67=0,K67,0)</f>
        <v>0</v>
      </c>
      <c r="AJ67" s="64">
        <f>IF(AM67=15,K67,0)</f>
        <v>0</v>
      </c>
      <c r="AK67" s="64">
        <f>IF(AM67=21,K67,0)</f>
        <v>0</v>
      </c>
      <c r="AM67" s="40">
        <v>21</v>
      </c>
      <c r="AN67" s="40">
        <f>H67*0</f>
        <v>0</v>
      </c>
      <c r="AO67" s="40">
        <f>H67*(1-0)</f>
        <v>0</v>
      </c>
      <c r="AP67" s="69" t="s">
        <v>91</v>
      </c>
      <c r="AU67" s="40">
        <f>AV67+AW67</f>
        <v>0</v>
      </c>
      <c r="AV67" s="40">
        <f>G67*AN67</f>
        <v>0</v>
      </c>
      <c r="AW67" s="40">
        <f>G67*AO67</f>
        <v>0</v>
      </c>
      <c r="AX67" s="71" t="s">
        <v>357</v>
      </c>
      <c r="AY67" s="71" t="s">
        <v>383</v>
      </c>
      <c r="AZ67" s="68" t="s">
        <v>394</v>
      </c>
      <c r="BB67" s="40">
        <f>AV67+AW67</f>
        <v>0</v>
      </c>
      <c r="BC67" s="40">
        <f>H67/(100-BD67)*100</f>
        <v>0</v>
      </c>
      <c r="BD67" s="40">
        <v>0</v>
      </c>
      <c r="BE67" s="40">
        <f>67</f>
        <v>67</v>
      </c>
      <c r="BG67" s="64">
        <f>G67*AN67</f>
        <v>0</v>
      </c>
      <c r="BH67" s="64">
        <f>G67*AO67</f>
        <v>0</v>
      </c>
      <c r="BI67" s="64">
        <f>G67*H67</f>
        <v>0</v>
      </c>
      <c r="BJ67" s="64" t="s">
        <v>401</v>
      </c>
      <c r="BK67" s="40">
        <v>16</v>
      </c>
    </row>
    <row r="68" spans="1:63" ht="12.75">
      <c r="A68" s="50" t="s">
        <v>139</v>
      </c>
      <c r="B68" s="56" t="s">
        <v>201</v>
      </c>
      <c r="C68" s="179" t="s">
        <v>289</v>
      </c>
      <c r="D68" s="180"/>
      <c r="E68" s="180"/>
      <c r="F68" s="56" t="s">
        <v>332</v>
      </c>
      <c r="G68" s="64">
        <v>5.12</v>
      </c>
      <c r="H68" s="64">
        <v>0</v>
      </c>
      <c r="I68" s="64">
        <f>G68*AN68</f>
        <v>0</v>
      </c>
      <c r="J68" s="64">
        <f>G68*AO68</f>
        <v>0</v>
      </c>
      <c r="K68" s="64">
        <f>G68*H68</f>
        <v>0</v>
      </c>
      <c r="L68" s="18"/>
      <c r="Y68" s="40">
        <f>IF(AP68="5",BI68,0)</f>
        <v>0</v>
      </c>
      <c r="AA68" s="40">
        <f>IF(AP68="1",BG68,0)</f>
        <v>0</v>
      </c>
      <c r="AB68" s="40">
        <f>IF(AP68="1",BH68,0)</f>
        <v>0</v>
      </c>
      <c r="AC68" s="40">
        <f>IF(AP68="7",BG68,0)</f>
        <v>0</v>
      </c>
      <c r="AD68" s="40">
        <f>IF(AP68="7",BH68,0)</f>
        <v>0</v>
      </c>
      <c r="AE68" s="40">
        <f>IF(AP68="2",BG68,0)</f>
        <v>0</v>
      </c>
      <c r="AF68" s="40">
        <f>IF(AP68="2",BH68,0)</f>
        <v>0</v>
      </c>
      <c r="AG68" s="40">
        <f>IF(AP68="0",BI68,0)</f>
        <v>0</v>
      </c>
      <c r="AH68" s="68" t="s">
        <v>86</v>
      </c>
      <c r="AI68" s="64">
        <f>IF(AM68=0,K68,0)</f>
        <v>0</v>
      </c>
      <c r="AJ68" s="64">
        <f>IF(AM68=15,K68,0)</f>
        <v>0</v>
      </c>
      <c r="AK68" s="64">
        <f>IF(AM68=21,K68,0)</f>
        <v>0</v>
      </c>
      <c r="AM68" s="40">
        <v>21</v>
      </c>
      <c r="AN68" s="40">
        <f>H68*0</f>
        <v>0</v>
      </c>
      <c r="AO68" s="40">
        <f>H68*(1-0)</f>
        <v>0</v>
      </c>
      <c r="AP68" s="69" t="s">
        <v>91</v>
      </c>
      <c r="AU68" s="40">
        <f>AV68+AW68</f>
        <v>0</v>
      </c>
      <c r="AV68" s="40">
        <f>G68*AN68</f>
        <v>0</v>
      </c>
      <c r="AW68" s="40">
        <f>G68*AO68</f>
        <v>0</v>
      </c>
      <c r="AX68" s="71" t="s">
        <v>357</v>
      </c>
      <c r="AY68" s="71" t="s">
        <v>383</v>
      </c>
      <c r="AZ68" s="68" t="s">
        <v>394</v>
      </c>
      <c r="BB68" s="40">
        <f>AV68+AW68</f>
        <v>0</v>
      </c>
      <c r="BC68" s="40">
        <f>H68/(100-BD68)*100</f>
        <v>0</v>
      </c>
      <c r="BD68" s="40">
        <v>0</v>
      </c>
      <c r="BE68" s="40">
        <f>68</f>
        <v>68</v>
      </c>
      <c r="BG68" s="64">
        <f>G68*AN68</f>
        <v>0</v>
      </c>
      <c r="BH68" s="64">
        <f>G68*AO68</f>
        <v>0</v>
      </c>
      <c r="BI68" s="64">
        <f>G68*H68</f>
        <v>0</v>
      </c>
      <c r="BJ68" s="64" t="s">
        <v>401</v>
      </c>
      <c r="BK68" s="40">
        <v>16</v>
      </c>
    </row>
    <row r="69" spans="1:63" ht="12.75">
      <c r="A69" s="50" t="s">
        <v>140</v>
      </c>
      <c r="B69" s="56" t="s">
        <v>202</v>
      </c>
      <c r="C69" s="179" t="s">
        <v>290</v>
      </c>
      <c r="D69" s="180"/>
      <c r="E69" s="180"/>
      <c r="F69" s="56" t="s">
        <v>332</v>
      </c>
      <c r="G69" s="64">
        <v>5.12</v>
      </c>
      <c r="H69" s="64">
        <v>0</v>
      </c>
      <c r="I69" s="64">
        <f>G69*AN69</f>
        <v>0</v>
      </c>
      <c r="J69" s="64">
        <f>G69*AO69</f>
        <v>0</v>
      </c>
      <c r="K69" s="64">
        <f>G69*H69</f>
        <v>0</v>
      </c>
      <c r="L69" s="18"/>
      <c r="Y69" s="40">
        <f>IF(AP69="5",BI69,0)</f>
        <v>0</v>
      </c>
      <c r="AA69" s="40">
        <f>IF(AP69="1",BG69,0)</f>
        <v>0</v>
      </c>
      <c r="AB69" s="40">
        <f>IF(AP69="1",BH69,0)</f>
        <v>0</v>
      </c>
      <c r="AC69" s="40">
        <f>IF(AP69="7",BG69,0)</f>
        <v>0</v>
      </c>
      <c r="AD69" s="40">
        <f>IF(AP69="7",BH69,0)</f>
        <v>0</v>
      </c>
      <c r="AE69" s="40">
        <f>IF(AP69="2",BG69,0)</f>
        <v>0</v>
      </c>
      <c r="AF69" s="40">
        <f>IF(AP69="2",BH69,0)</f>
        <v>0</v>
      </c>
      <c r="AG69" s="40">
        <f>IF(AP69="0",BI69,0)</f>
        <v>0</v>
      </c>
      <c r="AH69" s="68" t="s">
        <v>86</v>
      </c>
      <c r="AI69" s="64">
        <f>IF(AM69=0,K69,0)</f>
        <v>0</v>
      </c>
      <c r="AJ69" s="64">
        <f>IF(AM69=15,K69,0)</f>
        <v>0</v>
      </c>
      <c r="AK69" s="64">
        <f>IF(AM69=21,K69,0)</f>
        <v>0</v>
      </c>
      <c r="AM69" s="40">
        <v>21</v>
      </c>
      <c r="AN69" s="40">
        <f>H69*0</f>
        <v>0</v>
      </c>
      <c r="AO69" s="40">
        <f>H69*(1-0)</f>
        <v>0</v>
      </c>
      <c r="AP69" s="69" t="s">
        <v>91</v>
      </c>
      <c r="AU69" s="40">
        <f>AV69+AW69</f>
        <v>0</v>
      </c>
      <c r="AV69" s="40">
        <f>G69*AN69</f>
        <v>0</v>
      </c>
      <c r="AW69" s="40">
        <f>G69*AO69</f>
        <v>0</v>
      </c>
      <c r="AX69" s="71" t="s">
        <v>357</v>
      </c>
      <c r="AY69" s="71" t="s">
        <v>383</v>
      </c>
      <c r="AZ69" s="68" t="s">
        <v>394</v>
      </c>
      <c r="BB69" s="40">
        <f>AV69+AW69</f>
        <v>0</v>
      </c>
      <c r="BC69" s="40">
        <f>H69/(100-BD69)*100</f>
        <v>0</v>
      </c>
      <c r="BD69" s="40">
        <v>0</v>
      </c>
      <c r="BE69" s="40">
        <f>69</f>
        <v>69</v>
      </c>
      <c r="BG69" s="64">
        <f>G69*AN69</f>
        <v>0</v>
      </c>
      <c r="BH69" s="64">
        <f>G69*AO69</f>
        <v>0</v>
      </c>
      <c r="BI69" s="64">
        <f>G69*H69</f>
        <v>0</v>
      </c>
      <c r="BJ69" s="64" t="s">
        <v>401</v>
      </c>
      <c r="BK69" s="40">
        <v>16</v>
      </c>
    </row>
    <row r="70" spans="1:46" ht="12.75">
      <c r="A70" s="49"/>
      <c r="B70" s="55" t="s">
        <v>120</v>
      </c>
      <c r="C70" s="181" t="s">
        <v>254</v>
      </c>
      <c r="D70" s="182"/>
      <c r="E70" s="182"/>
      <c r="F70" s="61" t="s">
        <v>70</v>
      </c>
      <c r="G70" s="61" t="s">
        <v>70</v>
      </c>
      <c r="H70" s="61" t="s">
        <v>70</v>
      </c>
      <c r="I70" s="73">
        <f>SUM(I71:I73)</f>
        <v>0</v>
      </c>
      <c r="J70" s="73">
        <f>SUM(J71:J73)</f>
        <v>0</v>
      </c>
      <c r="K70" s="73">
        <f>SUM(K71:K73)</f>
        <v>0</v>
      </c>
      <c r="L70" s="18"/>
      <c r="AH70" s="68" t="s">
        <v>86</v>
      </c>
      <c r="AR70" s="73">
        <f>SUM(AI71:AI73)</f>
        <v>0</v>
      </c>
      <c r="AS70" s="73">
        <f>SUM(AJ71:AJ73)</f>
        <v>0</v>
      </c>
      <c r="AT70" s="73">
        <f>SUM(AK71:AK73)</f>
        <v>0</v>
      </c>
    </row>
    <row r="71" spans="1:63" ht="12.75">
      <c r="A71" s="50" t="s">
        <v>141</v>
      </c>
      <c r="B71" s="56" t="s">
        <v>203</v>
      </c>
      <c r="C71" s="179" t="s">
        <v>291</v>
      </c>
      <c r="D71" s="180"/>
      <c r="E71" s="180"/>
      <c r="F71" s="56" t="s">
        <v>332</v>
      </c>
      <c r="G71" s="64">
        <v>1.81</v>
      </c>
      <c r="H71" s="64">
        <v>0</v>
      </c>
      <c r="I71" s="64">
        <f>G71*AN71</f>
        <v>0</v>
      </c>
      <c r="J71" s="64">
        <f>G71*AO71</f>
        <v>0</v>
      </c>
      <c r="K71" s="64">
        <f>G71*H71</f>
        <v>0</v>
      </c>
      <c r="L71" s="18"/>
      <c r="Y71" s="40">
        <f>IF(AP71="5",BI71,0)</f>
        <v>0</v>
      </c>
      <c r="AA71" s="40">
        <f>IF(AP71="1",BG71,0)</f>
        <v>0</v>
      </c>
      <c r="AB71" s="40">
        <f>IF(AP71="1",BH71,0)</f>
        <v>0</v>
      </c>
      <c r="AC71" s="40">
        <f>IF(AP71="7",BG71,0)</f>
        <v>0</v>
      </c>
      <c r="AD71" s="40">
        <f>IF(AP71="7",BH71,0)</f>
        <v>0</v>
      </c>
      <c r="AE71" s="40">
        <f>IF(AP71="2",BG71,0)</f>
        <v>0</v>
      </c>
      <c r="AF71" s="40">
        <f>IF(AP71="2",BH71,0)</f>
        <v>0</v>
      </c>
      <c r="AG71" s="40">
        <f>IF(AP71="0",BI71,0)</f>
        <v>0</v>
      </c>
      <c r="AH71" s="68" t="s">
        <v>86</v>
      </c>
      <c r="AI71" s="64">
        <f>IF(AM71=0,K71,0)</f>
        <v>0</v>
      </c>
      <c r="AJ71" s="64">
        <f>IF(AM71=15,K71,0)</f>
        <v>0</v>
      </c>
      <c r="AK71" s="64">
        <f>IF(AM71=21,K71,0)</f>
        <v>0</v>
      </c>
      <c r="AM71" s="40">
        <v>21</v>
      </c>
      <c r="AN71" s="40">
        <f>H71*0.481870437956204</f>
        <v>0</v>
      </c>
      <c r="AO71" s="40">
        <f>H71*(1-0.481870437956204)</f>
        <v>0</v>
      </c>
      <c r="AP71" s="69" t="s">
        <v>91</v>
      </c>
      <c r="AU71" s="40">
        <f>AV71+AW71</f>
        <v>0</v>
      </c>
      <c r="AV71" s="40">
        <f>G71*AN71</f>
        <v>0</v>
      </c>
      <c r="AW71" s="40">
        <f>G71*AO71</f>
        <v>0</v>
      </c>
      <c r="AX71" s="71" t="s">
        <v>358</v>
      </c>
      <c r="AY71" s="71" t="s">
        <v>383</v>
      </c>
      <c r="AZ71" s="68" t="s">
        <v>394</v>
      </c>
      <c r="BB71" s="40">
        <f>AV71+AW71</f>
        <v>0</v>
      </c>
      <c r="BC71" s="40">
        <f>H71/(100-BD71)*100</f>
        <v>0</v>
      </c>
      <c r="BD71" s="40">
        <v>0</v>
      </c>
      <c r="BE71" s="40">
        <f>71</f>
        <v>71</v>
      </c>
      <c r="BG71" s="64">
        <f>G71*AN71</f>
        <v>0</v>
      </c>
      <c r="BH71" s="64">
        <f>G71*AO71</f>
        <v>0</v>
      </c>
      <c r="BI71" s="64">
        <f>G71*H71</f>
        <v>0</v>
      </c>
      <c r="BJ71" s="64" t="s">
        <v>401</v>
      </c>
      <c r="BK71" s="40">
        <v>17</v>
      </c>
    </row>
    <row r="72" spans="1:12" ht="12.75">
      <c r="A72" s="18"/>
      <c r="B72" s="58" t="s">
        <v>189</v>
      </c>
      <c r="C72" s="183" t="s">
        <v>292</v>
      </c>
      <c r="D72" s="184"/>
      <c r="E72" s="184"/>
      <c r="F72" s="184"/>
      <c r="G72" s="184"/>
      <c r="H72" s="184"/>
      <c r="I72" s="184"/>
      <c r="J72" s="184"/>
      <c r="K72" s="184"/>
      <c r="L72" s="18"/>
    </row>
    <row r="73" spans="1:63" ht="12.75">
      <c r="A73" s="50" t="s">
        <v>142</v>
      </c>
      <c r="B73" s="56" t="s">
        <v>204</v>
      </c>
      <c r="C73" s="179" t="s">
        <v>293</v>
      </c>
      <c r="D73" s="180"/>
      <c r="E73" s="180"/>
      <c r="F73" s="56" t="s">
        <v>332</v>
      </c>
      <c r="G73" s="64">
        <v>13.35</v>
      </c>
      <c r="H73" s="64">
        <v>0</v>
      </c>
      <c r="I73" s="64">
        <f>G73*AN73</f>
        <v>0</v>
      </c>
      <c r="J73" s="64">
        <f>G73*AO73</f>
        <v>0</v>
      </c>
      <c r="K73" s="64">
        <f>G73*H73</f>
        <v>0</v>
      </c>
      <c r="L73" s="18"/>
      <c r="Y73" s="40">
        <f>IF(AP73="5",BI73,0)</f>
        <v>0</v>
      </c>
      <c r="AA73" s="40">
        <f>IF(AP73="1",BG73,0)</f>
        <v>0</v>
      </c>
      <c r="AB73" s="40">
        <f>IF(AP73="1",BH73,0)</f>
        <v>0</v>
      </c>
      <c r="AC73" s="40">
        <f>IF(AP73="7",BG73,0)</f>
        <v>0</v>
      </c>
      <c r="AD73" s="40">
        <f>IF(AP73="7",BH73,0)</f>
        <v>0</v>
      </c>
      <c r="AE73" s="40">
        <f>IF(AP73="2",BG73,0)</f>
        <v>0</v>
      </c>
      <c r="AF73" s="40">
        <f>IF(AP73="2",BH73,0)</f>
        <v>0</v>
      </c>
      <c r="AG73" s="40">
        <f>IF(AP73="0",BI73,0)</f>
        <v>0</v>
      </c>
      <c r="AH73" s="68" t="s">
        <v>86</v>
      </c>
      <c r="AI73" s="64">
        <f>IF(AM73=0,K73,0)</f>
        <v>0</v>
      </c>
      <c r="AJ73" s="64">
        <f>IF(AM73=15,K73,0)</f>
        <v>0</v>
      </c>
      <c r="AK73" s="64">
        <f>IF(AM73=21,K73,0)</f>
        <v>0</v>
      </c>
      <c r="AM73" s="40">
        <v>21</v>
      </c>
      <c r="AN73" s="40">
        <f>H73*0</f>
        <v>0</v>
      </c>
      <c r="AO73" s="40">
        <f>H73*(1-0)</f>
        <v>0</v>
      </c>
      <c r="AP73" s="69" t="s">
        <v>91</v>
      </c>
      <c r="AU73" s="40">
        <f>AV73+AW73</f>
        <v>0</v>
      </c>
      <c r="AV73" s="40">
        <f>G73*AN73</f>
        <v>0</v>
      </c>
      <c r="AW73" s="40">
        <f>G73*AO73</f>
        <v>0</v>
      </c>
      <c r="AX73" s="71" t="s">
        <v>358</v>
      </c>
      <c r="AY73" s="71" t="s">
        <v>383</v>
      </c>
      <c r="AZ73" s="68" t="s">
        <v>394</v>
      </c>
      <c r="BB73" s="40">
        <f>AV73+AW73</f>
        <v>0</v>
      </c>
      <c r="BC73" s="40">
        <f>H73/(100-BD73)*100</f>
        <v>0</v>
      </c>
      <c r="BD73" s="40">
        <v>0</v>
      </c>
      <c r="BE73" s="40">
        <f>73</f>
        <v>73</v>
      </c>
      <c r="BG73" s="64">
        <f>G73*AN73</f>
        <v>0</v>
      </c>
      <c r="BH73" s="64">
        <f>G73*AO73</f>
        <v>0</v>
      </c>
      <c r="BI73" s="64">
        <f>G73*H73</f>
        <v>0</v>
      </c>
      <c r="BJ73" s="64" t="s">
        <v>401</v>
      </c>
      <c r="BK73" s="40">
        <v>17</v>
      </c>
    </row>
    <row r="74" spans="1:46" ht="12.75">
      <c r="A74" s="49"/>
      <c r="B74" s="55" t="s">
        <v>148</v>
      </c>
      <c r="C74" s="181" t="s">
        <v>294</v>
      </c>
      <c r="D74" s="182"/>
      <c r="E74" s="182"/>
      <c r="F74" s="61" t="s">
        <v>70</v>
      </c>
      <c r="G74" s="61" t="s">
        <v>70</v>
      </c>
      <c r="H74" s="61" t="s">
        <v>70</v>
      </c>
      <c r="I74" s="73">
        <f>SUM(I75:I75)</f>
        <v>0</v>
      </c>
      <c r="J74" s="73">
        <f>SUM(J75:J75)</f>
        <v>0</v>
      </c>
      <c r="K74" s="73">
        <f>SUM(K75:K75)</f>
        <v>0</v>
      </c>
      <c r="L74" s="18"/>
      <c r="AH74" s="68" t="s">
        <v>86</v>
      </c>
      <c r="AR74" s="73">
        <f>SUM(AI75:AI75)</f>
        <v>0</v>
      </c>
      <c r="AS74" s="73">
        <f>SUM(AJ75:AJ75)</f>
        <v>0</v>
      </c>
      <c r="AT74" s="73">
        <f>SUM(AK75:AK75)</f>
        <v>0</v>
      </c>
    </row>
    <row r="75" spans="1:63" ht="12.75">
      <c r="A75" s="50" t="s">
        <v>143</v>
      </c>
      <c r="B75" s="56" t="s">
        <v>205</v>
      </c>
      <c r="C75" s="179" t="s">
        <v>295</v>
      </c>
      <c r="D75" s="180"/>
      <c r="E75" s="180"/>
      <c r="F75" s="56" t="s">
        <v>332</v>
      </c>
      <c r="G75" s="64">
        <v>0.9</v>
      </c>
      <c r="H75" s="64">
        <v>0</v>
      </c>
      <c r="I75" s="64">
        <f>G75*AN75</f>
        <v>0</v>
      </c>
      <c r="J75" s="64">
        <f>G75*AO75</f>
        <v>0</v>
      </c>
      <c r="K75" s="64">
        <f>G75*H75</f>
        <v>0</v>
      </c>
      <c r="L75" s="18"/>
      <c r="Y75" s="40">
        <f>IF(AP75="5",BI75,0)</f>
        <v>0</v>
      </c>
      <c r="AA75" s="40">
        <f>IF(AP75="1",BG75,0)</f>
        <v>0</v>
      </c>
      <c r="AB75" s="40">
        <f>IF(AP75="1",BH75,0)</f>
        <v>0</v>
      </c>
      <c r="AC75" s="40">
        <f>IF(AP75="7",BG75,0)</f>
        <v>0</v>
      </c>
      <c r="AD75" s="40">
        <f>IF(AP75="7",BH75,0)</f>
        <v>0</v>
      </c>
      <c r="AE75" s="40">
        <f>IF(AP75="2",BG75,0)</f>
        <v>0</v>
      </c>
      <c r="AF75" s="40">
        <f>IF(AP75="2",BH75,0)</f>
        <v>0</v>
      </c>
      <c r="AG75" s="40">
        <f>IF(AP75="0",BI75,0)</f>
        <v>0</v>
      </c>
      <c r="AH75" s="68" t="s">
        <v>86</v>
      </c>
      <c r="AI75" s="64">
        <f>IF(AM75=0,K75,0)</f>
        <v>0</v>
      </c>
      <c r="AJ75" s="64">
        <f>IF(AM75=15,K75,0)</f>
        <v>0</v>
      </c>
      <c r="AK75" s="64">
        <f>IF(AM75=21,K75,0)</f>
        <v>0</v>
      </c>
      <c r="AM75" s="40">
        <v>21</v>
      </c>
      <c r="AN75" s="40">
        <f>H75*0.550753098188751</f>
        <v>0</v>
      </c>
      <c r="AO75" s="40">
        <f>H75*(1-0.550753098188751)</f>
        <v>0</v>
      </c>
      <c r="AP75" s="69" t="s">
        <v>91</v>
      </c>
      <c r="AU75" s="40">
        <f>AV75+AW75</f>
        <v>0</v>
      </c>
      <c r="AV75" s="40">
        <f>G75*AN75</f>
        <v>0</v>
      </c>
      <c r="AW75" s="40">
        <f>G75*AO75</f>
        <v>0</v>
      </c>
      <c r="AX75" s="71" t="s">
        <v>367</v>
      </c>
      <c r="AY75" s="71" t="s">
        <v>384</v>
      </c>
      <c r="AZ75" s="68" t="s">
        <v>394</v>
      </c>
      <c r="BB75" s="40">
        <f>AV75+AW75</f>
        <v>0</v>
      </c>
      <c r="BC75" s="40">
        <f>H75/(100-BD75)*100</f>
        <v>0</v>
      </c>
      <c r="BD75" s="40">
        <v>0</v>
      </c>
      <c r="BE75" s="40">
        <f>75</f>
        <v>75</v>
      </c>
      <c r="BG75" s="64">
        <f>G75*AN75</f>
        <v>0</v>
      </c>
      <c r="BH75" s="64">
        <f>G75*AO75</f>
        <v>0</v>
      </c>
      <c r="BI75" s="64">
        <f>G75*H75</f>
        <v>0</v>
      </c>
      <c r="BJ75" s="64" t="s">
        <v>401</v>
      </c>
      <c r="BK75" s="40">
        <v>45</v>
      </c>
    </row>
    <row r="76" spans="1:46" ht="12.75">
      <c r="A76" s="49"/>
      <c r="B76" s="55" t="s">
        <v>206</v>
      </c>
      <c r="C76" s="181" t="s">
        <v>296</v>
      </c>
      <c r="D76" s="182"/>
      <c r="E76" s="182"/>
      <c r="F76" s="61" t="s">
        <v>70</v>
      </c>
      <c r="G76" s="61" t="s">
        <v>70</v>
      </c>
      <c r="H76" s="61" t="s">
        <v>70</v>
      </c>
      <c r="I76" s="73">
        <f>SUM(I77:I84)</f>
        <v>0</v>
      </c>
      <c r="J76" s="73">
        <f>SUM(J77:J84)</f>
        <v>0</v>
      </c>
      <c r="K76" s="73">
        <f>SUM(K77:K84)</f>
        <v>0</v>
      </c>
      <c r="L76" s="18"/>
      <c r="AH76" s="68" t="s">
        <v>86</v>
      </c>
      <c r="AR76" s="73">
        <f>SUM(AI77:AI84)</f>
        <v>0</v>
      </c>
      <c r="AS76" s="73">
        <f>SUM(AJ77:AJ84)</f>
        <v>0</v>
      </c>
      <c r="AT76" s="73">
        <f>SUM(AK77:AK84)</f>
        <v>0</v>
      </c>
    </row>
    <row r="77" spans="1:63" ht="12.75">
      <c r="A77" s="50" t="s">
        <v>144</v>
      </c>
      <c r="B77" s="56" t="s">
        <v>207</v>
      </c>
      <c r="C77" s="179" t="s">
        <v>297</v>
      </c>
      <c r="D77" s="180"/>
      <c r="E77" s="180"/>
      <c r="F77" s="56" t="s">
        <v>335</v>
      </c>
      <c r="G77" s="64">
        <v>9</v>
      </c>
      <c r="H77" s="64">
        <v>0</v>
      </c>
      <c r="I77" s="64">
        <f>G77*AN77</f>
        <v>0</v>
      </c>
      <c r="J77" s="64">
        <f>G77*AO77</f>
        <v>0</v>
      </c>
      <c r="K77" s="64">
        <f>G77*H77</f>
        <v>0</v>
      </c>
      <c r="L77" s="18"/>
      <c r="Y77" s="40">
        <f>IF(AP77="5",BI77,0)</f>
        <v>0</v>
      </c>
      <c r="AA77" s="40">
        <f>IF(AP77="1",BG77,0)</f>
        <v>0</v>
      </c>
      <c r="AB77" s="40">
        <f>IF(AP77="1",BH77,0)</f>
        <v>0</v>
      </c>
      <c r="AC77" s="40">
        <f>IF(AP77="7",BG77,0)</f>
        <v>0</v>
      </c>
      <c r="AD77" s="40">
        <f>IF(AP77="7",BH77,0)</f>
        <v>0</v>
      </c>
      <c r="AE77" s="40">
        <f>IF(AP77="2",BG77,0)</f>
        <v>0</v>
      </c>
      <c r="AF77" s="40">
        <f>IF(AP77="2",BH77,0)</f>
        <v>0</v>
      </c>
      <c r="AG77" s="40">
        <f>IF(AP77="0",BI77,0)</f>
        <v>0</v>
      </c>
      <c r="AH77" s="68" t="s">
        <v>86</v>
      </c>
      <c r="AI77" s="64">
        <f>IF(AM77=0,K77,0)</f>
        <v>0</v>
      </c>
      <c r="AJ77" s="64">
        <f>IF(AM77=15,K77,0)</f>
        <v>0</v>
      </c>
      <c r="AK77" s="64">
        <f>IF(AM77=21,K77,0)</f>
        <v>0</v>
      </c>
      <c r="AM77" s="40">
        <v>21</v>
      </c>
      <c r="AN77" s="40">
        <f>H77*0.242480272923774</f>
        <v>0</v>
      </c>
      <c r="AO77" s="40">
        <f>H77*(1-0.242480272923774)</f>
        <v>0</v>
      </c>
      <c r="AP77" s="69" t="s">
        <v>112</v>
      </c>
      <c r="AU77" s="40">
        <f>AV77+AW77</f>
        <v>0</v>
      </c>
      <c r="AV77" s="40">
        <f>G77*AN77</f>
        <v>0</v>
      </c>
      <c r="AW77" s="40">
        <f>G77*AO77</f>
        <v>0</v>
      </c>
      <c r="AX77" s="71" t="s">
        <v>368</v>
      </c>
      <c r="AY77" s="71" t="s">
        <v>385</v>
      </c>
      <c r="AZ77" s="68" t="s">
        <v>394</v>
      </c>
      <c r="BB77" s="40">
        <f>AV77+AW77</f>
        <v>0</v>
      </c>
      <c r="BC77" s="40">
        <f>H77/(100-BD77)*100</f>
        <v>0</v>
      </c>
      <c r="BD77" s="40">
        <v>0</v>
      </c>
      <c r="BE77" s="40">
        <f>77</f>
        <v>77</v>
      </c>
      <c r="BG77" s="64">
        <f>G77*AN77</f>
        <v>0</v>
      </c>
      <c r="BH77" s="64">
        <f>G77*AO77</f>
        <v>0</v>
      </c>
      <c r="BI77" s="64">
        <f>G77*H77</f>
        <v>0</v>
      </c>
      <c r="BJ77" s="64" t="s">
        <v>401</v>
      </c>
      <c r="BK77" s="40">
        <v>722</v>
      </c>
    </row>
    <row r="78" spans="1:63" ht="12.75">
      <c r="A78" s="50" t="s">
        <v>145</v>
      </c>
      <c r="B78" s="56" t="s">
        <v>208</v>
      </c>
      <c r="C78" s="179" t="s">
        <v>298</v>
      </c>
      <c r="D78" s="180"/>
      <c r="E78" s="180"/>
      <c r="F78" s="56" t="s">
        <v>335</v>
      </c>
      <c r="G78" s="64">
        <v>9</v>
      </c>
      <c r="H78" s="64">
        <v>0</v>
      </c>
      <c r="I78" s="64">
        <f>G78*AN78</f>
        <v>0</v>
      </c>
      <c r="J78" s="64">
        <f>G78*AO78</f>
        <v>0</v>
      </c>
      <c r="K78" s="64">
        <f>G78*H78</f>
        <v>0</v>
      </c>
      <c r="L78" s="18"/>
      <c r="Y78" s="40">
        <f>IF(AP78="5",BI78,0)</f>
        <v>0</v>
      </c>
      <c r="AA78" s="40">
        <f>IF(AP78="1",BG78,0)</f>
        <v>0</v>
      </c>
      <c r="AB78" s="40">
        <f>IF(AP78="1",BH78,0)</f>
        <v>0</v>
      </c>
      <c r="AC78" s="40">
        <f>IF(AP78="7",BG78,0)</f>
        <v>0</v>
      </c>
      <c r="AD78" s="40">
        <f>IF(AP78="7",BH78,0)</f>
        <v>0</v>
      </c>
      <c r="AE78" s="40">
        <f>IF(AP78="2",BG78,0)</f>
        <v>0</v>
      </c>
      <c r="AF78" s="40">
        <f>IF(AP78="2",BH78,0)</f>
        <v>0</v>
      </c>
      <c r="AG78" s="40">
        <f>IF(AP78="0",BI78,0)</f>
        <v>0</v>
      </c>
      <c r="AH78" s="68" t="s">
        <v>86</v>
      </c>
      <c r="AI78" s="64">
        <f>IF(AM78=0,K78,0)</f>
        <v>0</v>
      </c>
      <c r="AJ78" s="64">
        <f>IF(AM78=15,K78,0)</f>
        <v>0</v>
      </c>
      <c r="AK78" s="64">
        <f>IF(AM78=21,K78,0)</f>
        <v>0</v>
      </c>
      <c r="AM78" s="40">
        <v>21</v>
      </c>
      <c r="AN78" s="40">
        <f>H78*0.476351605383863</f>
        <v>0</v>
      </c>
      <c r="AO78" s="40">
        <f>H78*(1-0.476351605383863)</f>
        <v>0</v>
      </c>
      <c r="AP78" s="69" t="s">
        <v>112</v>
      </c>
      <c r="AU78" s="40">
        <f>AV78+AW78</f>
        <v>0</v>
      </c>
      <c r="AV78" s="40">
        <f>G78*AN78</f>
        <v>0</v>
      </c>
      <c r="AW78" s="40">
        <f>G78*AO78</f>
        <v>0</v>
      </c>
      <c r="AX78" s="71" t="s">
        <v>368</v>
      </c>
      <c r="AY78" s="71" t="s">
        <v>385</v>
      </c>
      <c r="AZ78" s="68" t="s">
        <v>394</v>
      </c>
      <c r="BB78" s="40">
        <f>AV78+AW78</f>
        <v>0</v>
      </c>
      <c r="BC78" s="40">
        <f>H78/(100-BD78)*100</f>
        <v>0</v>
      </c>
      <c r="BD78" s="40">
        <v>0</v>
      </c>
      <c r="BE78" s="40">
        <f>78</f>
        <v>78</v>
      </c>
      <c r="BG78" s="64">
        <f>G78*AN78</f>
        <v>0</v>
      </c>
      <c r="BH78" s="64">
        <f>G78*AO78</f>
        <v>0</v>
      </c>
      <c r="BI78" s="64">
        <f>G78*H78</f>
        <v>0</v>
      </c>
      <c r="BJ78" s="64" t="s">
        <v>401</v>
      </c>
      <c r="BK78" s="40">
        <v>722</v>
      </c>
    </row>
    <row r="79" spans="1:12" ht="12.75">
      <c r="A79" s="18"/>
      <c r="B79" s="58" t="s">
        <v>189</v>
      </c>
      <c r="C79" s="183" t="s">
        <v>299</v>
      </c>
      <c r="D79" s="184"/>
      <c r="E79" s="184"/>
      <c r="F79" s="184"/>
      <c r="G79" s="184"/>
      <c r="H79" s="184"/>
      <c r="I79" s="184"/>
      <c r="J79" s="184"/>
      <c r="K79" s="184"/>
      <c r="L79" s="18"/>
    </row>
    <row r="80" spans="1:63" ht="12.75">
      <c r="A80" s="50" t="s">
        <v>146</v>
      </c>
      <c r="B80" s="56" t="s">
        <v>209</v>
      </c>
      <c r="C80" s="179" t="s">
        <v>300</v>
      </c>
      <c r="D80" s="180"/>
      <c r="E80" s="180"/>
      <c r="F80" s="56" t="s">
        <v>334</v>
      </c>
      <c r="G80" s="64">
        <v>1</v>
      </c>
      <c r="H80" s="64">
        <v>0</v>
      </c>
      <c r="I80" s="64">
        <f>G80*AN80</f>
        <v>0</v>
      </c>
      <c r="J80" s="64">
        <f>G80*AO80</f>
        <v>0</v>
      </c>
      <c r="K80" s="64">
        <f>G80*H80</f>
        <v>0</v>
      </c>
      <c r="L80" s="18"/>
      <c r="Y80" s="40">
        <f>IF(AP80="5",BI80,0)</f>
        <v>0</v>
      </c>
      <c r="AA80" s="40">
        <f>IF(AP80="1",BG80,0)</f>
        <v>0</v>
      </c>
      <c r="AB80" s="40">
        <f>IF(AP80="1",BH80,0)</f>
        <v>0</v>
      </c>
      <c r="AC80" s="40">
        <f>IF(AP80="7",BG80,0)</f>
        <v>0</v>
      </c>
      <c r="AD80" s="40">
        <f>IF(AP80="7",BH80,0)</f>
        <v>0</v>
      </c>
      <c r="AE80" s="40">
        <f>IF(AP80="2",BG80,0)</f>
        <v>0</v>
      </c>
      <c r="AF80" s="40">
        <f>IF(AP80="2",BH80,0)</f>
        <v>0</v>
      </c>
      <c r="AG80" s="40">
        <f>IF(AP80="0",BI80,0)</f>
        <v>0</v>
      </c>
      <c r="AH80" s="68" t="s">
        <v>86</v>
      </c>
      <c r="AI80" s="64">
        <f>IF(AM80=0,K80,0)</f>
        <v>0</v>
      </c>
      <c r="AJ80" s="64">
        <f>IF(AM80=15,K80,0)</f>
        <v>0</v>
      </c>
      <c r="AK80" s="64">
        <f>IF(AM80=21,K80,0)</f>
        <v>0</v>
      </c>
      <c r="AM80" s="40">
        <v>21</v>
      </c>
      <c r="AN80" s="40">
        <f>H80*0.423010204081633</f>
        <v>0</v>
      </c>
      <c r="AO80" s="40">
        <f>H80*(1-0.423010204081633)</f>
        <v>0</v>
      </c>
      <c r="AP80" s="69" t="s">
        <v>112</v>
      </c>
      <c r="AU80" s="40">
        <f>AV80+AW80</f>
        <v>0</v>
      </c>
      <c r="AV80" s="40">
        <f>G80*AN80</f>
        <v>0</v>
      </c>
      <c r="AW80" s="40">
        <f>G80*AO80</f>
        <v>0</v>
      </c>
      <c r="AX80" s="71" t="s">
        <v>368</v>
      </c>
      <c r="AY80" s="71" t="s">
        <v>385</v>
      </c>
      <c r="AZ80" s="68" t="s">
        <v>394</v>
      </c>
      <c r="BB80" s="40">
        <f>AV80+AW80</f>
        <v>0</v>
      </c>
      <c r="BC80" s="40">
        <f>H80/(100-BD80)*100</f>
        <v>0</v>
      </c>
      <c r="BD80" s="40">
        <v>0</v>
      </c>
      <c r="BE80" s="40">
        <f>80</f>
        <v>80</v>
      </c>
      <c r="BG80" s="64">
        <f>G80*AN80</f>
        <v>0</v>
      </c>
      <c r="BH80" s="64">
        <f>G80*AO80</f>
        <v>0</v>
      </c>
      <c r="BI80" s="64">
        <f>G80*H80</f>
        <v>0</v>
      </c>
      <c r="BJ80" s="64" t="s">
        <v>401</v>
      </c>
      <c r="BK80" s="40">
        <v>722</v>
      </c>
    </row>
    <row r="81" spans="1:63" ht="12.75">
      <c r="A81" s="50" t="s">
        <v>147</v>
      </c>
      <c r="B81" s="56" t="s">
        <v>210</v>
      </c>
      <c r="C81" s="179" t="s">
        <v>301</v>
      </c>
      <c r="D81" s="180"/>
      <c r="E81" s="180"/>
      <c r="F81" s="56" t="s">
        <v>334</v>
      </c>
      <c r="G81" s="64">
        <v>1</v>
      </c>
      <c r="H81" s="64">
        <v>0</v>
      </c>
      <c r="I81" s="64">
        <f>G81*AN81</f>
        <v>0</v>
      </c>
      <c r="J81" s="64">
        <f>G81*AO81</f>
        <v>0</v>
      </c>
      <c r="K81" s="64">
        <f>G81*H81</f>
        <v>0</v>
      </c>
      <c r="L81" s="18"/>
      <c r="Y81" s="40">
        <f>IF(AP81="5",BI81,0)</f>
        <v>0</v>
      </c>
      <c r="AA81" s="40">
        <f>IF(AP81="1",BG81,0)</f>
        <v>0</v>
      </c>
      <c r="AB81" s="40">
        <f>IF(AP81="1",BH81,0)</f>
        <v>0</v>
      </c>
      <c r="AC81" s="40">
        <f>IF(AP81="7",BG81,0)</f>
        <v>0</v>
      </c>
      <c r="AD81" s="40">
        <f>IF(AP81="7",BH81,0)</f>
        <v>0</v>
      </c>
      <c r="AE81" s="40">
        <f>IF(AP81="2",BG81,0)</f>
        <v>0</v>
      </c>
      <c r="AF81" s="40">
        <f>IF(AP81="2",BH81,0)</f>
        <v>0</v>
      </c>
      <c r="AG81" s="40">
        <f>IF(AP81="0",BI81,0)</f>
        <v>0</v>
      </c>
      <c r="AH81" s="68" t="s">
        <v>86</v>
      </c>
      <c r="AI81" s="64">
        <f>IF(AM81=0,K81,0)</f>
        <v>0</v>
      </c>
      <c r="AJ81" s="64">
        <f>IF(AM81=15,K81,0)</f>
        <v>0</v>
      </c>
      <c r="AK81" s="64">
        <f>IF(AM81=21,K81,0)</f>
        <v>0</v>
      </c>
      <c r="AM81" s="40">
        <v>21</v>
      </c>
      <c r="AN81" s="40">
        <f>H81*0.468685504146497</f>
        <v>0</v>
      </c>
      <c r="AO81" s="40">
        <f>H81*(1-0.468685504146497)</f>
        <v>0</v>
      </c>
      <c r="AP81" s="69" t="s">
        <v>112</v>
      </c>
      <c r="AU81" s="40">
        <f>AV81+AW81</f>
        <v>0</v>
      </c>
      <c r="AV81" s="40">
        <f>G81*AN81</f>
        <v>0</v>
      </c>
      <c r="AW81" s="40">
        <f>G81*AO81</f>
        <v>0</v>
      </c>
      <c r="AX81" s="71" t="s">
        <v>368</v>
      </c>
      <c r="AY81" s="71" t="s">
        <v>385</v>
      </c>
      <c r="AZ81" s="68" t="s">
        <v>394</v>
      </c>
      <c r="BB81" s="40">
        <f>AV81+AW81</f>
        <v>0</v>
      </c>
      <c r="BC81" s="40">
        <f>H81/(100-BD81)*100</f>
        <v>0</v>
      </c>
      <c r="BD81" s="40">
        <v>0</v>
      </c>
      <c r="BE81" s="40">
        <f>81</f>
        <v>81</v>
      </c>
      <c r="BG81" s="64">
        <f>G81*AN81</f>
        <v>0</v>
      </c>
      <c r="BH81" s="64">
        <f>G81*AO81</f>
        <v>0</v>
      </c>
      <c r="BI81" s="64">
        <f>G81*H81</f>
        <v>0</v>
      </c>
      <c r="BJ81" s="64" t="s">
        <v>401</v>
      </c>
      <c r="BK81" s="40">
        <v>722</v>
      </c>
    </row>
    <row r="82" spans="1:63" ht="12.75">
      <c r="A82" s="50" t="s">
        <v>148</v>
      </c>
      <c r="B82" s="56" t="s">
        <v>211</v>
      </c>
      <c r="C82" s="179" t="s">
        <v>302</v>
      </c>
      <c r="D82" s="180"/>
      <c r="E82" s="180"/>
      <c r="F82" s="56" t="s">
        <v>334</v>
      </c>
      <c r="G82" s="64">
        <v>1</v>
      </c>
      <c r="H82" s="64">
        <v>0</v>
      </c>
      <c r="I82" s="64">
        <f>G82*AN82</f>
        <v>0</v>
      </c>
      <c r="J82" s="64">
        <f>G82*AO82</f>
        <v>0</v>
      </c>
      <c r="K82" s="64">
        <f>G82*H82</f>
        <v>0</v>
      </c>
      <c r="L82" s="18"/>
      <c r="Y82" s="40">
        <f>IF(AP82="5",BI82,0)</f>
        <v>0</v>
      </c>
      <c r="AA82" s="40">
        <f>IF(AP82="1",BG82,0)</f>
        <v>0</v>
      </c>
      <c r="AB82" s="40">
        <f>IF(AP82="1",BH82,0)</f>
        <v>0</v>
      </c>
      <c r="AC82" s="40">
        <f>IF(AP82="7",BG82,0)</f>
        <v>0</v>
      </c>
      <c r="AD82" s="40">
        <f>IF(AP82="7",BH82,0)</f>
        <v>0</v>
      </c>
      <c r="AE82" s="40">
        <f>IF(AP82="2",BG82,0)</f>
        <v>0</v>
      </c>
      <c r="AF82" s="40">
        <f>IF(AP82="2",BH82,0)</f>
        <v>0</v>
      </c>
      <c r="AG82" s="40">
        <f>IF(AP82="0",BI82,0)</f>
        <v>0</v>
      </c>
      <c r="AH82" s="68" t="s">
        <v>86</v>
      </c>
      <c r="AI82" s="64">
        <f>IF(AM82=0,K82,0)</f>
        <v>0</v>
      </c>
      <c r="AJ82" s="64">
        <f>IF(AM82=15,K82,0)</f>
        <v>0</v>
      </c>
      <c r="AK82" s="64">
        <f>IF(AM82=21,K82,0)</f>
        <v>0</v>
      </c>
      <c r="AM82" s="40">
        <v>21</v>
      </c>
      <c r="AN82" s="40">
        <f>H82*0.918489869373415</f>
        <v>0</v>
      </c>
      <c r="AO82" s="40">
        <f>H82*(1-0.918489869373415)</f>
        <v>0</v>
      </c>
      <c r="AP82" s="69" t="s">
        <v>112</v>
      </c>
      <c r="AU82" s="40">
        <f>AV82+AW82</f>
        <v>0</v>
      </c>
      <c r="AV82" s="40">
        <f>G82*AN82</f>
        <v>0</v>
      </c>
      <c r="AW82" s="40">
        <f>G82*AO82</f>
        <v>0</v>
      </c>
      <c r="AX82" s="71" t="s">
        <v>368</v>
      </c>
      <c r="AY82" s="71" t="s">
        <v>385</v>
      </c>
      <c r="AZ82" s="68" t="s">
        <v>394</v>
      </c>
      <c r="BB82" s="40">
        <f>AV82+AW82</f>
        <v>0</v>
      </c>
      <c r="BC82" s="40">
        <f>H82/(100-BD82)*100</f>
        <v>0</v>
      </c>
      <c r="BD82" s="40">
        <v>0</v>
      </c>
      <c r="BE82" s="40">
        <f>82</f>
        <v>82</v>
      </c>
      <c r="BG82" s="64">
        <f>G82*AN82</f>
        <v>0</v>
      </c>
      <c r="BH82" s="64">
        <f>G82*AO82</f>
        <v>0</v>
      </c>
      <c r="BI82" s="64">
        <f>G82*H82</f>
        <v>0</v>
      </c>
      <c r="BJ82" s="64" t="s">
        <v>401</v>
      </c>
      <c r="BK82" s="40">
        <v>722</v>
      </c>
    </row>
    <row r="83" spans="1:63" ht="12.75">
      <c r="A83" s="50" t="s">
        <v>149</v>
      </c>
      <c r="B83" s="56" t="s">
        <v>212</v>
      </c>
      <c r="C83" s="179" t="s">
        <v>303</v>
      </c>
      <c r="D83" s="180"/>
      <c r="E83" s="180"/>
      <c r="F83" s="56" t="s">
        <v>334</v>
      </c>
      <c r="G83" s="64">
        <v>1</v>
      </c>
      <c r="H83" s="64">
        <v>0</v>
      </c>
      <c r="I83" s="64">
        <f>G83*AN83</f>
        <v>0</v>
      </c>
      <c r="J83" s="64">
        <f>G83*AO83</f>
        <v>0</v>
      </c>
      <c r="K83" s="64">
        <f>G83*H83</f>
        <v>0</v>
      </c>
      <c r="L83" s="18"/>
      <c r="Y83" s="40">
        <f>IF(AP83="5",BI83,0)</f>
        <v>0</v>
      </c>
      <c r="AA83" s="40">
        <f>IF(AP83="1",BG83,0)</f>
        <v>0</v>
      </c>
      <c r="AB83" s="40">
        <f>IF(AP83="1",BH83,0)</f>
        <v>0</v>
      </c>
      <c r="AC83" s="40">
        <f>IF(AP83="7",BG83,0)</f>
        <v>0</v>
      </c>
      <c r="AD83" s="40">
        <f>IF(AP83="7",BH83,0)</f>
        <v>0</v>
      </c>
      <c r="AE83" s="40">
        <f>IF(AP83="2",BG83,0)</f>
        <v>0</v>
      </c>
      <c r="AF83" s="40">
        <f>IF(AP83="2",BH83,0)</f>
        <v>0</v>
      </c>
      <c r="AG83" s="40">
        <f>IF(AP83="0",BI83,0)</f>
        <v>0</v>
      </c>
      <c r="AH83" s="68" t="s">
        <v>86</v>
      </c>
      <c r="AI83" s="64">
        <f>IF(AM83=0,K83,0)</f>
        <v>0</v>
      </c>
      <c r="AJ83" s="64">
        <f>IF(AM83=15,K83,0)</f>
        <v>0</v>
      </c>
      <c r="AK83" s="64">
        <f>IF(AM83=21,K83,0)</f>
        <v>0</v>
      </c>
      <c r="AM83" s="40">
        <v>21</v>
      </c>
      <c r="AN83" s="40">
        <f>H83*0.868937568455641</f>
        <v>0</v>
      </c>
      <c r="AO83" s="40">
        <f>H83*(1-0.868937568455641)</f>
        <v>0</v>
      </c>
      <c r="AP83" s="69" t="s">
        <v>112</v>
      </c>
      <c r="AU83" s="40">
        <f>AV83+AW83</f>
        <v>0</v>
      </c>
      <c r="AV83" s="40">
        <f>G83*AN83</f>
        <v>0</v>
      </c>
      <c r="AW83" s="40">
        <f>G83*AO83</f>
        <v>0</v>
      </c>
      <c r="AX83" s="71" t="s">
        <v>368</v>
      </c>
      <c r="AY83" s="71" t="s">
        <v>385</v>
      </c>
      <c r="AZ83" s="68" t="s">
        <v>394</v>
      </c>
      <c r="BB83" s="40">
        <f>AV83+AW83</f>
        <v>0</v>
      </c>
      <c r="BC83" s="40">
        <f>H83/(100-BD83)*100</f>
        <v>0</v>
      </c>
      <c r="BD83" s="40">
        <v>0</v>
      </c>
      <c r="BE83" s="40">
        <f>83</f>
        <v>83</v>
      </c>
      <c r="BG83" s="64">
        <f>G83*AN83</f>
        <v>0</v>
      </c>
      <c r="BH83" s="64">
        <f>G83*AO83</f>
        <v>0</v>
      </c>
      <c r="BI83" s="64">
        <f>G83*H83</f>
        <v>0</v>
      </c>
      <c r="BJ83" s="64" t="s">
        <v>401</v>
      </c>
      <c r="BK83" s="40">
        <v>722</v>
      </c>
    </row>
    <row r="84" spans="1:63" ht="12.75">
      <c r="A84" s="50" t="s">
        <v>150</v>
      </c>
      <c r="B84" s="56" t="s">
        <v>213</v>
      </c>
      <c r="C84" s="179" t="s">
        <v>304</v>
      </c>
      <c r="D84" s="180"/>
      <c r="E84" s="180"/>
      <c r="F84" s="56" t="s">
        <v>336</v>
      </c>
      <c r="G84" s="64">
        <v>1</v>
      </c>
      <c r="H84" s="64">
        <v>0</v>
      </c>
      <c r="I84" s="64">
        <f>G84*AN84</f>
        <v>0</v>
      </c>
      <c r="J84" s="64">
        <f>G84*AO84</f>
        <v>0</v>
      </c>
      <c r="K84" s="64">
        <f>G84*H84</f>
        <v>0</v>
      </c>
      <c r="L84" s="18"/>
      <c r="Y84" s="40">
        <f>IF(AP84="5",BI84,0)</f>
        <v>0</v>
      </c>
      <c r="AA84" s="40">
        <f>IF(AP84="1",BG84,0)</f>
        <v>0</v>
      </c>
      <c r="AB84" s="40">
        <f>IF(AP84="1",BH84,0)</f>
        <v>0</v>
      </c>
      <c r="AC84" s="40">
        <f>IF(AP84="7",BG84,0)</f>
        <v>0</v>
      </c>
      <c r="AD84" s="40">
        <f>IF(AP84="7",BH84,0)</f>
        <v>0</v>
      </c>
      <c r="AE84" s="40">
        <f>IF(AP84="2",BG84,0)</f>
        <v>0</v>
      </c>
      <c r="AF84" s="40">
        <f>IF(AP84="2",BH84,0)</f>
        <v>0</v>
      </c>
      <c r="AG84" s="40">
        <f>IF(AP84="0",BI84,0)</f>
        <v>0</v>
      </c>
      <c r="AH84" s="68" t="s">
        <v>86</v>
      </c>
      <c r="AI84" s="64">
        <f>IF(AM84=0,K84,0)</f>
        <v>0</v>
      </c>
      <c r="AJ84" s="64">
        <f>IF(AM84=15,K84,0)</f>
        <v>0</v>
      </c>
      <c r="AK84" s="64">
        <f>IF(AM84=21,K84,0)</f>
        <v>0</v>
      </c>
      <c r="AM84" s="40">
        <v>21</v>
      </c>
      <c r="AN84" s="40">
        <f>H84*0.710268882175227</f>
        <v>0</v>
      </c>
      <c r="AO84" s="40">
        <f>H84*(1-0.710268882175227)</f>
        <v>0</v>
      </c>
      <c r="AP84" s="69" t="s">
        <v>112</v>
      </c>
      <c r="AU84" s="40">
        <f>AV84+AW84</f>
        <v>0</v>
      </c>
      <c r="AV84" s="40">
        <f>G84*AN84</f>
        <v>0</v>
      </c>
      <c r="AW84" s="40">
        <f>G84*AO84</f>
        <v>0</v>
      </c>
      <c r="AX84" s="71" t="s">
        <v>368</v>
      </c>
      <c r="AY84" s="71" t="s">
        <v>385</v>
      </c>
      <c r="AZ84" s="68" t="s">
        <v>394</v>
      </c>
      <c r="BB84" s="40">
        <f>AV84+AW84</f>
        <v>0</v>
      </c>
      <c r="BC84" s="40">
        <f>H84/(100-BD84)*100</f>
        <v>0</v>
      </c>
      <c r="BD84" s="40">
        <v>0</v>
      </c>
      <c r="BE84" s="40">
        <f>84</f>
        <v>84</v>
      </c>
      <c r="BG84" s="64">
        <f>G84*AN84</f>
        <v>0</v>
      </c>
      <c r="BH84" s="64">
        <f>G84*AO84</f>
        <v>0</v>
      </c>
      <c r="BI84" s="64">
        <f>G84*H84</f>
        <v>0</v>
      </c>
      <c r="BJ84" s="64" t="s">
        <v>401</v>
      </c>
      <c r="BK84" s="40">
        <v>722</v>
      </c>
    </row>
    <row r="85" spans="1:46" ht="12.75">
      <c r="A85" s="49"/>
      <c r="B85" s="55" t="s">
        <v>214</v>
      </c>
      <c r="C85" s="181" t="s">
        <v>305</v>
      </c>
      <c r="D85" s="182"/>
      <c r="E85" s="182"/>
      <c r="F85" s="61" t="s">
        <v>70</v>
      </c>
      <c r="G85" s="61" t="s">
        <v>70</v>
      </c>
      <c r="H85" s="61" t="s">
        <v>70</v>
      </c>
      <c r="I85" s="73">
        <f>SUM(I86:I87)</f>
        <v>0</v>
      </c>
      <c r="J85" s="73">
        <f>SUM(J86:J87)</f>
        <v>0</v>
      </c>
      <c r="K85" s="73">
        <f>SUM(K86:K87)</f>
        <v>0</v>
      </c>
      <c r="L85" s="18"/>
      <c r="AH85" s="68" t="s">
        <v>86</v>
      </c>
      <c r="AR85" s="73">
        <f>SUM(AI86:AI87)</f>
        <v>0</v>
      </c>
      <c r="AS85" s="73">
        <f>SUM(AJ86:AJ87)</f>
        <v>0</v>
      </c>
      <c r="AT85" s="73">
        <f>SUM(AK86:AK87)</f>
        <v>0</v>
      </c>
    </row>
    <row r="86" spans="1:63" ht="12.75">
      <c r="A86" s="50" t="s">
        <v>151</v>
      </c>
      <c r="B86" s="56" t="s">
        <v>215</v>
      </c>
      <c r="C86" s="179" t="s">
        <v>306</v>
      </c>
      <c r="D86" s="180"/>
      <c r="E86" s="180"/>
      <c r="F86" s="56" t="s">
        <v>335</v>
      </c>
      <c r="G86" s="64">
        <v>11.3</v>
      </c>
      <c r="H86" s="64">
        <v>0</v>
      </c>
      <c r="I86" s="64">
        <f>G86*AN86</f>
        <v>0</v>
      </c>
      <c r="J86" s="64">
        <f>G86*AO86</f>
        <v>0</v>
      </c>
      <c r="K86" s="64">
        <f>G86*H86</f>
        <v>0</v>
      </c>
      <c r="L86" s="18"/>
      <c r="Y86" s="40">
        <f>IF(AP86="5",BI86,0)</f>
        <v>0</v>
      </c>
      <c r="AA86" s="40">
        <f>IF(AP86="1",BG86,0)</f>
        <v>0</v>
      </c>
      <c r="AB86" s="40">
        <f>IF(AP86="1",BH86,0)</f>
        <v>0</v>
      </c>
      <c r="AC86" s="40">
        <f>IF(AP86="7",BG86,0)</f>
        <v>0</v>
      </c>
      <c r="AD86" s="40">
        <f>IF(AP86="7",BH86,0)</f>
        <v>0</v>
      </c>
      <c r="AE86" s="40">
        <f>IF(AP86="2",BG86,0)</f>
        <v>0</v>
      </c>
      <c r="AF86" s="40">
        <f>IF(AP86="2",BH86,0)</f>
        <v>0</v>
      </c>
      <c r="AG86" s="40">
        <f>IF(AP86="0",BI86,0)</f>
        <v>0</v>
      </c>
      <c r="AH86" s="68" t="s">
        <v>86</v>
      </c>
      <c r="AI86" s="64">
        <f>IF(AM86=0,K86,0)</f>
        <v>0</v>
      </c>
      <c r="AJ86" s="64">
        <f>IF(AM86=15,K86,0)</f>
        <v>0</v>
      </c>
      <c r="AK86" s="64">
        <f>IF(AM86=21,K86,0)</f>
        <v>0</v>
      </c>
      <c r="AM86" s="40">
        <v>21</v>
      </c>
      <c r="AN86" s="40">
        <f>H86*0</f>
        <v>0</v>
      </c>
      <c r="AO86" s="40">
        <f>H86*(1-0)</f>
        <v>0</v>
      </c>
      <c r="AP86" s="69" t="s">
        <v>91</v>
      </c>
      <c r="AU86" s="40">
        <f>AV86+AW86</f>
        <v>0</v>
      </c>
      <c r="AV86" s="40">
        <f>G86*AN86</f>
        <v>0</v>
      </c>
      <c r="AW86" s="40">
        <f>G86*AO86</f>
        <v>0</v>
      </c>
      <c r="AX86" s="71" t="s">
        <v>369</v>
      </c>
      <c r="AY86" s="71" t="s">
        <v>386</v>
      </c>
      <c r="AZ86" s="68" t="s">
        <v>394</v>
      </c>
      <c r="BB86" s="40">
        <f>AV86+AW86</f>
        <v>0</v>
      </c>
      <c r="BC86" s="40">
        <f>H86/(100-BD86)*100</f>
        <v>0</v>
      </c>
      <c r="BD86" s="40">
        <v>0</v>
      </c>
      <c r="BE86" s="40">
        <f>86</f>
        <v>86</v>
      </c>
      <c r="BG86" s="64">
        <f>G86*AN86</f>
        <v>0</v>
      </c>
      <c r="BH86" s="64">
        <f>G86*AO86</f>
        <v>0</v>
      </c>
      <c r="BI86" s="64">
        <f>G86*H86</f>
        <v>0</v>
      </c>
      <c r="BJ86" s="64" t="s">
        <v>401</v>
      </c>
      <c r="BK86" s="40">
        <v>87</v>
      </c>
    </row>
    <row r="87" spans="1:63" ht="12.75">
      <c r="A87" s="51" t="s">
        <v>152</v>
      </c>
      <c r="B87" s="57" t="s">
        <v>216</v>
      </c>
      <c r="C87" s="185" t="s">
        <v>307</v>
      </c>
      <c r="D87" s="186"/>
      <c r="E87" s="186"/>
      <c r="F87" s="57" t="s">
        <v>335</v>
      </c>
      <c r="G87" s="65">
        <v>12</v>
      </c>
      <c r="H87" s="65">
        <v>0</v>
      </c>
      <c r="I87" s="65">
        <f>G87*AN87</f>
        <v>0</v>
      </c>
      <c r="J87" s="65">
        <f>G87*AO87</f>
        <v>0</v>
      </c>
      <c r="K87" s="65">
        <f>G87*H87</f>
        <v>0</v>
      </c>
      <c r="L87" s="18"/>
      <c r="Y87" s="40">
        <f>IF(AP87="5",BI87,0)</f>
        <v>0</v>
      </c>
      <c r="AA87" s="40">
        <f>IF(AP87="1",BG87,0)</f>
        <v>0</v>
      </c>
      <c r="AB87" s="40">
        <f>IF(AP87="1",BH87,0)</f>
        <v>0</v>
      </c>
      <c r="AC87" s="40">
        <f>IF(AP87="7",BG87,0)</f>
        <v>0</v>
      </c>
      <c r="AD87" s="40">
        <f>IF(AP87="7",BH87,0)</f>
        <v>0</v>
      </c>
      <c r="AE87" s="40">
        <f>IF(AP87="2",BG87,0)</f>
        <v>0</v>
      </c>
      <c r="AF87" s="40">
        <f>IF(AP87="2",BH87,0)</f>
        <v>0</v>
      </c>
      <c r="AG87" s="40">
        <f>IF(AP87="0",BI87,0)</f>
        <v>0</v>
      </c>
      <c r="AH87" s="68" t="s">
        <v>86</v>
      </c>
      <c r="AI87" s="65">
        <f>IF(AM87=0,K87,0)</f>
        <v>0</v>
      </c>
      <c r="AJ87" s="65">
        <f>IF(AM87=15,K87,0)</f>
        <v>0</v>
      </c>
      <c r="AK87" s="65">
        <f>IF(AM87=21,K87,0)</f>
        <v>0</v>
      </c>
      <c r="AM87" s="40">
        <v>21</v>
      </c>
      <c r="AN87" s="40">
        <f>H87*1</f>
        <v>0</v>
      </c>
      <c r="AO87" s="40">
        <f>H87*(1-1)</f>
        <v>0</v>
      </c>
      <c r="AP87" s="70" t="s">
        <v>91</v>
      </c>
      <c r="AU87" s="40">
        <f>AV87+AW87</f>
        <v>0</v>
      </c>
      <c r="AV87" s="40">
        <f>G87*AN87</f>
        <v>0</v>
      </c>
      <c r="AW87" s="40">
        <f>G87*AO87</f>
        <v>0</v>
      </c>
      <c r="AX87" s="71" t="s">
        <v>369</v>
      </c>
      <c r="AY87" s="71" t="s">
        <v>386</v>
      </c>
      <c r="AZ87" s="68" t="s">
        <v>394</v>
      </c>
      <c r="BB87" s="40">
        <f>AV87+AW87</f>
        <v>0</v>
      </c>
      <c r="BC87" s="40">
        <f>H87/(100-BD87)*100</f>
        <v>0</v>
      </c>
      <c r="BD87" s="40">
        <v>0</v>
      </c>
      <c r="BE87" s="40">
        <f>87</f>
        <v>87</v>
      </c>
      <c r="BG87" s="65">
        <f>G87*AN87</f>
        <v>0</v>
      </c>
      <c r="BH87" s="65">
        <f>G87*AO87</f>
        <v>0</v>
      </c>
      <c r="BI87" s="65">
        <f>G87*H87</f>
        <v>0</v>
      </c>
      <c r="BJ87" s="65" t="s">
        <v>219</v>
      </c>
      <c r="BK87" s="40">
        <v>87</v>
      </c>
    </row>
    <row r="88" spans="1:46" ht="12.75">
      <c r="A88" s="49"/>
      <c r="B88" s="55" t="s">
        <v>217</v>
      </c>
      <c r="C88" s="181" t="s">
        <v>308</v>
      </c>
      <c r="D88" s="182"/>
      <c r="E88" s="182"/>
      <c r="F88" s="61" t="s">
        <v>70</v>
      </c>
      <c r="G88" s="61" t="s">
        <v>70</v>
      </c>
      <c r="H88" s="61" t="s">
        <v>70</v>
      </c>
      <c r="I88" s="73">
        <f>SUM(I89:I89)</f>
        <v>0</v>
      </c>
      <c r="J88" s="73">
        <f>SUM(J89:J89)</f>
        <v>0</v>
      </c>
      <c r="K88" s="73">
        <f>SUM(K89:K89)</f>
        <v>0</v>
      </c>
      <c r="L88" s="18"/>
      <c r="AH88" s="68" t="s">
        <v>86</v>
      </c>
      <c r="AR88" s="73">
        <f>SUM(AI89:AI89)</f>
        <v>0</v>
      </c>
      <c r="AS88" s="73">
        <f>SUM(AJ89:AJ89)</f>
        <v>0</v>
      </c>
      <c r="AT88" s="73">
        <f>SUM(AK89:AK89)</f>
        <v>0</v>
      </c>
    </row>
    <row r="89" spans="1:63" ht="12.75">
      <c r="A89" s="50" t="s">
        <v>153</v>
      </c>
      <c r="B89" s="56" t="s">
        <v>218</v>
      </c>
      <c r="C89" s="179" t="s">
        <v>309</v>
      </c>
      <c r="D89" s="180"/>
      <c r="E89" s="180"/>
      <c r="F89" s="56" t="s">
        <v>334</v>
      </c>
      <c r="G89" s="64">
        <v>1</v>
      </c>
      <c r="H89" s="64">
        <v>0</v>
      </c>
      <c r="I89" s="64">
        <f>G89*AN89</f>
        <v>0</v>
      </c>
      <c r="J89" s="64">
        <f>G89*AO89</f>
        <v>0</v>
      </c>
      <c r="K89" s="64">
        <f>G89*H89</f>
        <v>0</v>
      </c>
      <c r="L89" s="18"/>
      <c r="Y89" s="40">
        <f>IF(AP89="5",BI89,0)</f>
        <v>0</v>
      </c>
      <c r="AA89" s="40">
        <f>IF(AP89="1",BG89,0)</f>
        <v>0</v>
      </c>
      <c r="AB89" s="40">
        <f>IF(AP89="1",BH89,0)</f>
        <v>0</v>
      </c>
      <c r="AC89" s="40">
        <f>IF(AP89="7",BG89,0)</f>
        <v>0</v>
      </c>
      <c r="AD89" s="40">
        <f>IF(AP89="7",BH89,0)</f>
        <v>0</v>
      </c>
      <c r="AE89" s="40">
        <f>IF(AP89="2",BG89,0)</f>
        <v>0</v>
      </c>
      <c r="AF89" s="40">
        <f>IF(AP89="2",BH89,0)</f>
        <v>0</v>
      </c>
      <c r="AG89" s="40">
        <f>IF(AP89="0",BI89,0)</f>
        <v>0</v>
      </c>
      <c r="AH89" s="68" t="s">
        <v>86</v>
      </c>
      <c r="AI89" s="64">
        <f>IF(AM89=0,K89,0)</f>
        <v>0</v>
      </c>
      <c r="AJ89" s="64">
        <f>IF(AM89=15,K89,0)</f>
        <v>0</v>
      </c>
      <c r="AK89" s="64">
        <f>IF(AM89=21,K89,0)</f>
        <v>0</v>
      </c>
      <c r="AM89" s="40">
        <v>21</v>
      </c>
      <c r="AN89" s="40">
        <f>H89*0.916565080717401</f>
        <v>0</v>
      </c>
      <c r="AO89" s="40">
        <f>H89*(1-0.916565080717401)</f>
        <v>0</v>
      </c>
      <c r="AP89" s="69" t="s">
        <v>91</v>
      </c>
      <c r="AU89" s="40">
        <f>AV89+AW89</f>
        <v>0</v>
      </c>
      <c r="AV89" s="40">
        <f>G89*AN89</f>
        <v>0</v>
      </c>
      <c r="AW89" s="40">
        <f>G89*AO89</f>
        <v>0</v>
      </c>
      <c r="AX89" s="71" t="s">
        <v>370</v>
      </c>
      <c r="AY89" s="71" t="s">
        <v>386</v>
      </c>
      <c r="AZ89" s="68" t="s">
        <v>394</v>
      </c>
      <c r="BB89" s="40">
        <f>AV89+AW89</f>
        <v>0</v>
      </c>
      <c r="BC89" s="40">
        <f>H89/(100-BD89)*100</f>
        <v>0</v>
      </c>
      <c r="BD89" s="40">
        <v>0</v>
      </c>
      <c r="BE89" s="40">
        <f>89</f>
        <v>89</v>
      </c>
      <c r="BG89" s="64">
        <f>G89*AN89</f>
        <v>0</v>
      </c>
      <c r="BH89" s="64">
        <f>G89*AO89</f>
        <v>0</v>
      </c>
      <c r="BI89" s="64">
        <f>G89*H89</f>
        <v>0</v>
      </c>
      <c r="BJ89" s="64" t="s">
        <v>401</v>
      </c>
      <c r="BK89" s="40">
        <v>89</v>
      </c>
    </row>
    <row r="90" spans="1:46" ht="12.75">
      <c r="A90" s="49"/>
      <c r="B90" s="55" t="s">
        <v>219</v>
      </c>
      <c r="C90" s="181" t="s">
        <v>310</v>
      </c>
      <c r="D90" s="182"/>
      <c r="E90" s="182"/>
      <c r="F90" s="61" t="s">
        <v>70</v>
      </c>
      <c r="G90" s="61" t="s">
        <v>70</v>
      </c>
      <c r="H90" s="61" t="s">
        <v>70</v>
      </c>
      <c r="I90" s="73">
        <f>SUM(I91:I91)</f>
        <v>0</v>
      </c>
      <c r="J90" s="73">
        <f>SUM(J91:J91)</f>
        <v>0</v>
      </c>
      <c r="K90" s="73">
        <f>SUM(K91:K91)</f>
        <v>0</v>
      </c>
      <c r="L90" s="18"/>
      <c r="AH90" s="68" t="s">
        <v>86</v>
      </c>
      <c r="AR90" s="73">
        <f>SUM(AI91:AI91)</f>
        <v>0</v>
      </c>
      <c r="AS90" s="73">
        <f>SUM(AJ91:AJ91)</f>
        <v>0</v>
      </c>
      <c r="AT90" s="73">
        <f>SUM(AK91:AK91)</f>
        <v>0</v>
      </c>
    </row>
    <row r="91" spans="1:63" ht="12.75">
      <c r="A91" s="50" t="s">
        <v>154</v>
      </c>
      <c r="B91" s="56" t="s">
        <v>220</v>
      </c>
      <c r="C91" s="179" t="s">
        <v>311</v>
      </c>
      <c r="D91" s="180"/>
      <c r="E91" s="180"/>
      <c r="F91" s="56" t="s">
        <v>67</v>
      </c>
      <c r="G91" s="64">
        <v>980.84</v>
      </c>
      <c r="H91" s="64">
        <v>0</v>
      </c>
      <c r="I91" s="64">
        <f>G91*AN91</f>
        <v>0</v>
      </c>
      <c r="J91" s="64">
        <f>G91*AO91</f>
        <v>0</v>
      </c>
      <c r="K91" s="64">
        <f>G91*H91</f>
        <v>0</v>
      </c>
      <c r="L91" s="18"/>
      <c r="Y91" s="40">
        <f>IF(AP91="5",BI91,0)</f>
        <v>0</v>
      </c>
      <c r="AA91" s="40">
        <f>IF(AP91="1",BG91,0)</f>
        <v>0</v>
      </c>
      <c r="AB91" s="40">
        <f>IF(AP91="1",BH91,0)</f>
        <v>0</v>
      </c>
      <c r="AC91" s="40">
        <f>IF(AP91="7",BG91,0)</f>
        <v>0</v>
      </c>
      <c r="AD91" s="40">
        <f>IF(AP91="7",BH91,0)</f>
        <v>0</v>
      </c>
      <c r="AE91" s="40">
        <f>IF(AP91="2",BG91,0)</f>
        <v>0</v>
      </c>
      <c r="AF91" s="40">
        <f>IF(AP91="2",BH91,0)</f>
        <v>0</v>
      </c>
      <c r="AG91" s="40">
        <f>IF(AP91="0",BI91,0)</f>
        <v>0</v>
      </c>
      <c r="AH91" s="68" t="s">
        <v>86</v>
      </c>
      <c r="AI91" s="64">
        <f>IF(AM91=0,K91,0)</f>
        <v>0</v>
      </c>
      <c r="AJ91" s="64">
        <f>IF(AM91=15,K91,0)</f>
        <v>0</v>
      </c>
      <c r="AK91" s="64">
        <f>IF(AM91=21,K91,0)</f>
        <v>0</v>
      </c>
      <c r="AM91" s="40">
        <v>21</v>
      </c>
      <c r="AN91" s="40">
        <f>H91*0</f>
        <v>0</v>
      </c>
      <c r="AO91" s="40">
        <f>H91*(1-0)</f>
        <v>0</v>
      </c>
      <c r="AP91" s="69" t="s">
        <v>92</v>
      </c>
      <c r="AU91" s="40">
        <f>AV91+AW91</f>
        <v>0</v>
      </c>
      <c r="AV91" s="40">
        <f>G91*AN91</f>
        <v>0</v>
      </c>
      <c r="AW91" s="40">
        <f>G91*AO91</f>
        <v>0</v>
      </c>
      <c r="AX91" s="71" t="s">
        <v>371</v>
      </c>
      <c r="AY91" s="71" t="s">
        <v>387</v>
      </c>
      <c r="AZ91" s="68" t="s">
        <v>394</v>
      </c>
      <c r="BB91" s="40">
        <f>AV91+AW91</f>
        <v>0</v>
      </c>
      <c r="BC91" s="40">
        <f>H91/(100-BD91)*100</f>
        <v>0</v>
      </c>
      <c r="BD91" s="40">
        <v>0</v>
      </c>
      <c r="BE91" s="40">
        <f>91</f>
        <v>91</v>
      </c>
      <c r="BG91" s="64">
        <f>G91*AN91</f>
        <v>0</v>
      </c>
      <c r="BH91" s="64">
        <f>G91*AO91</f>
        <v>0</v>
      </c>
      <c r="BI91" s="64">
        <f>G91*H91</f>
        <v>0</v>
      </c>
      <c r="BJ91" s="64" t="s">
        <v>401</v>
      </c>
      <c r="BK91" s="40" t="s">
        <v>219</v>
      </c>
    </row>
    <row r="92" spans="1:46" ht="12.75">
      <c r="A92" s="49"/>
      <c r="B92" s="55" t="s">
        <v>221</v>
      </c>
      <c r="C92" s="181" t="s">
        <v>312</v>
      </c>
      <c r="D92" s="182"/>
      <c r="E92" s="182"/>
      <c r="F92" s="61" t="s">
        <v>70</v>
      </c>
      <c r="G92" s="61" t="s">
        <v>70</v>
      </c>
      <c r="H92" s="61" t="s">
        <v>70</v>
      </c>
      <c r="I92" s="73">
        <f>SUM(I93:I93)</f>
        <v>0</v>
      </c>
      <c r="J92" s="73">
        <f>SUM(J93:J93)</f>
        <v>0</v>
      </c>
      <c r="K92" s="73">
        <f>SUM(K93:K93)</f>
        <v>0</v>
      </c>
      <c r="L92" s="18"/>
      <c r="AH92" s="68" t="s">
        <v>86</v>
      </c>
      <c r="AR92" s="73">
        <f>SUM(AI93:AI93)</f>
        <v>0</v>
      </c>
      <c r="AS92" s="73">
        <f>SUM(AJ93:AJ93)</f>
        <v>0</v>
      </c>
      <c r="AT92" s="73">
        <f>SUM(AK93:AK93)</f>
        <v>0</v>
      </c>
    </row>
    <row r="93" spans="1:63" ht="12.75">
      <c r="A93" s="50" t="s">
        <v>155</v>
      </c>
      <c r="B93" s="56" t="s">
        <v>222</v>
      </c>
      <c r="C93" s="179" t="s">
        <v>313</v>
      </c>
      <c r="D93" s="180"/>
      <c r="E93" s="180"/>
      <c r="F93" s="56" t="s">
        <v>333</v>
      </c>
      <c r="G93" s="64">
        <v>5.39</v>
      </c>
      <c r="H93" s="64">
        <v>0</v>
      </c>
      <c r="I93" s="64">
        <f>G93*AN93</f>
        <v>0</v>
      </c>
      <c r="J93" s="64">
        <f>G93*AO93</f>
        <v>0</v>
      </c>
      <c r="K93" s="64">
        <f>G93*H93</f>
        <v>0</v>
      </c>
      <c r="L93" s="18"/>
      <c r="Y93" s="40">
        <f>IF(AP93="5",BI93,0)</f>
        <v>0</v>
      </c>
      <c r="AA93" s="40">
        <f>IF(AP93="1",BG93,0)</f>
        <v>0</v>
      </c>
      <c r="AB93" s="40">
        <f>IF(AP93="1",BH93,0)</f>
        <v>0</v>
      </c>
      <c r="AC93" s="40">
        <f>IF(AP93="7",BG93,0)</f>
        <v>0</v>
      </c>
      <c r="AD93" s="40">
        <f>IF(AP93="7",BH93,0)</f>
        <v>0</v>
      </c>
      <c r="AE93" s="40">
        <f>IF(AP93="2",BG93,0)</f>
        <v>0</v>
      </c>
      <c r="AF93" s="40">
        <f>IF(AP93="2",BH93,0)</f>
        <v>0</v>
      </c>
      <c r="AG93" s="40">
        <f>IF(AP93="0",BI93,0)</f>
        <v>0</v>
      </c>
      <c r="AH93" s="68" t="s">
        <v>86</v>
      </c>
      <c r="AI93" s="64">
        <f>IF(AM93=0,K93,0)</f>
        <v>0</v>
      </c>
      <c r="AJ93" s="64">
        <f>IF(AM93=15,K93,0)</f>
        <v>0</v>
      </c>
      <c r="AK93" s="64">
        <f>IF(AM93=21,K93,0)</f>
        <v>0</v>
      </c>
      <c r="AM93" s="40">
        <v>21</v>
      </c>
      <c r="AN93" s="40">
        <f>H93*0</f>
        <v>0</v>
      </c>
      <c r="AO93" s="40">
        <f>H93*(1-0)</f>
        <v>0</v>
      </c>
      <c r="AP93" s="69" t="s">
        <v>93</v>
      </c>
      <c r="AU93" s="40">
        <f>AV93+AW93</f>
        <v>0</v>
      </c>
      <c r="AV93" s="40">
        <f>G93*AN93</f>
        <v>0</v>
      </c>
      <c r="AW93" s="40">
        <f>G93*AO93</f>
        <v>0</v>
      </c>
      <c r="AX93" s="71" t="s">
        <v>372</v>
      </c>
      <c r="AY93" s="71" t="s">
        <v>387</v>
      </c>
      <c r="AZ93" s="68" t="s">
        <v>394</v>
      </c>
      <c r="BB93" s="40">
        <f>AV93+AW93</f>
        <v>0</v>
      </c>
      <c r="BC93" s="40">
        <f>H93/(100-BD93)*100</f>
        <v>0</v>
      </c>
      <c r="BD93" s="40">
        <v>0</v>
      </c>
      <c r="BE93" s="40">
        <f>93</f>
        <v>93</v>
      </c>
      <c r="BG93" s="64">
        <f>G93*AN93</f>
        <v>0</v>
      </c>
      <c r="BH93" s="64">
        <f>G93*AO93</f>
        <v>0</v>
      </c>
      <c r="BI93" s="64">
        <f>G93*H93</f>
        <v>0</v>
      </c>
      <c r="BJ93" s="64" t="s">
        <v>401</v>
      </c>
      <c r="BK93" s="40" t="s">
        <v>221</v>
      </c>
    </row>
    <row r="94" spans="1:12" ht="12.75">
      <c r="A94" s="52"/>
      <c r="B94" s="59"/>
      <c r="C94" s="187" t="s">
        <v>75</v>
      </c>
      <c r="D94" s="188"/>
      <c r="E94" s="188"/>
      <c r="F94" s="62" t="s">
        <v>70</v>
      </c>
      <c r="G94" s="62" t="s">
        <v>70</v>
      </c>
      <c r="H94" s="62" t="s">
        <v>70</v>
      </c>
      <c r="I94" s="74">
        <f>I95+I98+I101</f>
        <v>0</v>
      </c>
      <c r="J94" s="74">
        <f>J95+J98+J101</f>
        <v>0</v>
      </c>
      <c r="K94" s="74">
        <f>K95+K98+K101</f>
        <v>0</v>
      </c>
      <c r="L94" s="18"/>
    </row>
    <row r="95" spans="1:46" ht="12.75">
      <c r="A95" s="49"/>
      <c r="B95" s="55" t="s">
        <v>223</v>
      </c>
      <c r="C95" s="181" t="s">
        <v>314</v>
      </c>
      <c r="D95" s="182"/>
      <c r="E95" s="182"/>
      <c r="F95" s="61" t="s">
        <v>70</v>
      </c>
      <c r="G95" s="61" t="s">
        <v>70</v>
      </c>
      <c r="H95" s="61" t="s">
        <v>70</v>
      </c>
      <c r="I95" s="73">
        <f>SUM(I96:I96)</f>
        <v>0</v>
      </c>
      <c r="J95" s="73">
        <f>SUM(J96:J96)</f>
        <v>0</v>
      </c>
      <c r="K95" s="73">
        <f>SUM(K96:K96)</f>
        <v>0</v>
      </c>
      <c r="L95" s="18"/>
      <c r="AH95" s="68" t="s">
        <v>87</v>
      </c>
      <c r="AR95" s="73">
        <f>SUM(AI96:AI96)</f>
        <v>0</v>
      </c>
      <c r="AS95" s="73">
        <f>SUM(AJ96:AJ96)</f>
        <v>0</v>
      </c>
      <c r="AT95" s="73">
        <f>SUM(AK96:AK96)</f>
        <v>0</v>
      </c>
    </row>
    <row r="96" spans="1:63" ht="12.75">
      <c r="A96" s="50" t="s">
        <v>156</v>
      </c>
      <c r="B96" s="56" t="s">
        <v>224</v>
      </c>
      <c r="C96" s="179" t="s">
        <v>315</v>
      </c>
      <c r="D96" s="180"/>
      <c r="E96" s="180"/>
      <c r="F96" s="56" t="s">
        <v>335</v>
      </c>
      <c r="G96" s="64">
        <v>7.5</v>
      </c>
      <c r="H96" s="64">
        <v>0</v>
      </c>
      <c r="I96" s="64">
        <f>G96*AN96</f>
        <v>0</v>
      </c>
      <c r="J96" s="64">
        <f>G96*AO96</f>
        <v>0</v>
      </c>
      <c r="K96" s="64">
        <f>G96*H96</f>
        <v>0</v>
      </c>
      <c r="L96" s="18"/>
      <c r="Y96" s="40">
        <f>IF(AP96="5",BI96,0)</f>
        <v>0</v>
      </c>
      <c r="AA96" s="40">
        <f>IF(AP96="1",BG96,0)</f>
        <v>0</v>
      </c>
      <c r="AB96" s="40">
        <f>IF(AP96="1",BH96,0)</f>
        <v>0</v>
      </c>
      <c r="AC96" s="40">
        <f>IF(AP96="7",BG96,0)</f>
        <v>0</v>
      </c>
      <c r="AD96" s="40">
        <f>IF(AP96="7",BH96,0)</f>
        <v>0</v>
      </c>
      <c r="AE96" s="40">
        <f>IF(AP96="2",BG96,0)</f>
        <v>0</v>
      </c>
      <c r="AF96" s="40">
        <f>IF(AP96="2",BH96,0)</f>
        <v>0</v>
      </c>
      <c r="AG96" s="40">
        <f>IF(AP96="0",BI96,0)</f>
        <v>0</v>
      </c>
      <c r="AH96" s="68" t="s">
        <v>87</v>
      </c>
      <c r="AI96" s="64">
        <f>IF(AM96=0,K96,0)</f>
        <v>0</v>
      </c>
      <c r="AJ96" s="64">
        <f>IF(AM96=15,K96,0)</f>
        <v>0</v>
      </c>
      <c r="AK96" s="64">
        <f>IF(AM96=21,K96,0)</f>
        <v>0</v>
      </c>
      <c r="AM96" s="40">
        <v>21</v>
      </c>
      <c r="AN96" s="40">
        <f>H96*0.345274854405778</f>
        <v>0</v>
      </c>
      <c r="AO96" s="40">
        <f>H96*(1-0.345274854405778)</f>
        <v>0</v>
      </c>
      <c r="AP96" s="69" t="s">
        <v>91</v>
      </c>
      <c r="AU96" s="40">
        <f>AV96+AW96</f>
        <v>0</v>
      </c>
      <c r="AV96" s="40">
        <f>G96*AN96</f>
        <v>0</v>
      </c>
      <c r="AW96" s="40">
        <f>G96*AO96</f>
        <v>0</v>
      </c>
      <c r="AX96" s="71" t="s">
        <v>373</v>
      </c>
      <c r="AY96" s="71" t="s">
        <v>388</v>
      </c>
      <c r="AZ96" s="68" t="s">
        <v>395</v>
      </c>
      <c r="BB96" s="40">
        <f>AV96+AW96</f>
        <v>0</v>
      </c>
      <c r="BC96" s="40">
        <f>H96/(100-BD96)*100</f>
        <v>0</v>
      </c>
      <c r="BD96" s="40">
        <v>0</v>
      </c>
      <c r="BE96" s="40">
        <f>96</f>
        <v>96</v>
      </c>
      <c r="BG96" s="64">
        <f>G96*AN96</f>
        <v>0</v>
      </c>
      <c r="BH96" s="64">
        <f>G96*AO96</f>
        <v>0</v>
      </c>
      <c r="BI96" s="64">
        <f>G96*H96</f>
        <v>0</v>
      </c>
      <c r="BJ96" s="64" t="s">
        <v>401</v>
      </c>
      <c r="BK96" s="40">
        <v>83</v>
      </c>
    </row>
    <row r="97" spans="1:12" ht="12.75">
      <c r="A97" s="18"/>
      <c r="B97" s="58" t="s">
        <v>189</v>
      </c>
      <c r="C97" s="183" t="s">
        <v>316</v>
      </c>
      <c r="D97" s="184"/>
      <c r="E97" s="184"/>
      <c r="F97" s="184"/>
      <c r="G97" s="184"/>
      <c r="H97" s="184"/>
      <c r="I97" s="184"/>
      <c r="J97" s="184"/>
      <c r="K97" s="184"/>
      <c r="L97" s="18"/>
    </row>
    <row r="98" spans="1:46" ht="12.75">
      <c r="A98" s="49"/>
      <c r="B98" s="55" t="s">
        <v>225</v>
      </c>
      <c r="C98" s="181" t="s">
        <v>317</v>
      </c>
      <c r="D98" s="182"/>
      <c r="E98" s="182"/>
      <c r="F98" s="61" t="s">
        <v>70</v>
      </c>
      <c r="G98" s="61" t="s">
        <v>70</v>
      </c>
      <c r="H98" s="61" t="s">
        <v>70</v>
      </c>
      <c r="I98" s="73">
        <f>SUM(I99:I99)</f>
        <v>0</v>
      </c>
      <c r="J98" s="73">
        <f>SUM(J99:J99)</f>
        <v>0</v>
      </c>
      <c r="K98" s="73">
        <f>SUM(K99:K99)</f>
        <v>0</v>
      </c>
      <c r="L98" s="18"/>
      <c r="AH98" s="68" t="s">
        <v>87</v>
      </c>
      <c r="AR98" s="73">
        <f>SUM(AI99:AI99)</f>
        <v>0</v>
      </c>
      <c r="AS98" s="73">
        <f>SUM(AJ99:AJ99)</f>
        <v>0</v>
      </c>
      <c r="AT98" s="73">
        <f>SUM(AK99:AK99)</f>
        <v>0</v>
      </c>
    </row>
    <row r="99" spans="1:63" ht="12.75">
      <c r="A99" s="50" t="s">
        <v>157</v>
      </c>
      <c r="B99" s="56" t="s">
        <v>226</v>
      </c>
      <c r="C99" s="179" t="s">
        <v>318</v>
      </c>
      <c r="D99" s="180"/>
      <c r="E99" s="180"/>
      <c r="F99" s="56" t="s">
        <v>334</v>
      </c>
      <c r="G99" s="64">
        <v>1</v>
      </c>
      <c r="H99" s="64">
        <v>0</v>
      </c>
      <c r="I99" s="64">
        <f>G99*AN99</f>
        <v>0</v>
      </c>
      <c r="J99" s="64">
        <f>G99*AO99</f>
        <v>0</v>
      </c>
      <c r="K99" s="64">
        <f>G99*H99</f>
        <v>0</v>
      </c>
      <c r="L99" s="18"/>
      <c r="Y99" s="40">
        <f>IF(AP99="5",BI99,0)</f>
        <v>0</v>
      </c>
      <c r="AA99" s="40">
        <f>IF(AP99="1",BG99,0)</f>
        <v>0</v>
      </c>
      <c r="AB99" s="40">
        <f>IF(AP99="1",BH99,0)</f>
        <v>0</v>
      </c>
      <c r="AC99" s="40">
        <f>IF(AP99="7",BG99,0)</f>
        <v>0</v>
      </c>
      <c r="AD99" s="40">
        <f>IF(AP99="7",BH99,0)</f>
        <v>0</v>
      </c>
      <c r="AE99" s="40">
        <f>IF(AP99="2",BG99,0)</f>
        <v>0</v>
      </c>
      <c r="AF99" s="40">
        <f>IF(AP99="2",BH99,0)</f>
        <v>0</v>
      </c>
      <c r="AG99" s="40">
        <f>IF(AP99="0",BI99,0)</f>
        <v>0</v>
      </c>
      <c r="AH99" s="68" t="s">
        <v>87</v>
      </c>
      <c r="AI99" s="64">
        <f>IF(AM99=0,K99,0)</f>
        <v>0</v>
      </c>
      <c r="AJ99" s="64">
        <f>IF(AM99=15,K99,0)</f>
        <v>0</v>
      </c>
      <c r="AK99" s="64">
        <f>IF(AM99=21,K99,0)</f>
        <v>0</v>
      </c>
      <c r="AM99" s="40">
        <v>21</v>
      </c>
      <c r="AN99" s="40">
        <f>H99*0.00778048780487805</f>
        <v>0</v>
      </c>
      <c r="AO99" s="40">
        <f>H99*(1-0.00778048780487805)</f>
        <v>0</v>
      </c>
      <c r="AP99" s="69" t="s">
        <v>92</v>
      </c>
      <c r="AU99" s="40">
        <f>AV99+AW99</f>
        <v>0</v>
      </c>
      <c r="AV99" s="40">
        <f>G99*AN99</f>
        <v>0</v>
      </c>
      <c r="AW99" s="40">
        <f>G99*AO99</f>
        <v>0</v>
      </c>
      <c r="AX99" s="71" t="s">
        <v>374</v>
      </c>
      <c r="AY99" s="71" t="s">
        <v>389</v>
      </c>
      <c r="AZ99" s="68" t="s">
        <v>395</v>
      </c>
      <c r="BB99" s="40">
        <f>AV99+AW99</f>
        <v>0</v>
      </c>
      <c r="BC99" s="40">
        <f>H99/(100-BD99)*100</f>
        <v>0</v>
      </c>
      <c r="BD99" s="40">
        <v>0</v>
      </c>
      <c r="BE99" s="40">
        <f>99</f>
        <v>99</v>
      </c>
      <c r="BG99" s="64">
        <f>G99*AN99</f>
        <v>0</v>
      </c>
      <c r="BH99" s="64">
        <f>G99*AO99</f>
        <v>0</v>
      </c>
      <c r="BI99" s="64">
        <f>G99*H99</f>
        <v>0</v>
      </c>
      <c r="BJ99" s="64" t="s">
        <v>401</v>
      </c>
      <c r="BK99" s="40" t="s">
        <v>225</v>
      </c>
    </row>
    <row r="100" spans="1:12" ht="12.75">
      <c r="A100" s="18"/>
      <c r="B100" s="58" t="s">
        <v>189</v>
      </c>
      <c r="C100" s="183" t="s">
        <v>319</v>
      </c>
      <c r="D100" s="184"/>
      <c r="E100" s="184"/>
      <c r="F100" s="184"/>
      <c r="G100" s="184"/>
      <c r="H100" s="184"/>
      <c r="I100" s="184"/>
      <c r="J100" s="184"/>
      <c r="K100" s="184"/>
      <c r="L100" s="18"/>
    </row>
    <row r="101" spans="1:46" ht="12.75">
      <c r="A101" s="49"/>
      <c r="B101" s="55"/>
      <c r="C101" s="181" t="s">
        <v>10</v>
      </c>
      <c r="D101" s="182"/>
      <c r="E101" s="182"/>
      <c r="F101" s="61" t="s">
        <v>70</v>
      </c>
      <c r="G101" s="61" t="s">
        <v>70</v>
      </c>
      <c r="H101" s="61" t="s">
        <v>70</v>
      </c>
      <c r="I101" s="73">
        <f>SUM(I102:I102)</f>
        <v>0</v>
      </c>
      <c r="J101" s="73">
        <f>SUM(J102:J102)</f>
        <v>0</v>
      </c>
      <c r="K101" s="73">
        <f>SUM(K102:K102)</f>
        <v>0</v>
      </c>
      <c r="L101" s="18"/>
      <c r="AH101" s="68" t="s">
        <v>87</v>
      </c>
      <c r="AR101" s="73">
        <f>SUM(AI102:AI102)</f>
        <v>0</v>
      </c>
      <c r="AS101" s="73">
        <f>SUM(AJ102:AJ102)</f>
        <v>0</v>
      </c>
      <c r="AT101" s="73">
        <f>SUM(AK102:AK102)</f>
        <v>0</v>
      </c>
    </row>
    <row r="102" spans="1:63" ht="12.75">
      <c r="A102" s="51" t="s">
        <v>158</v>
      </c>
      <c r="B102" s="57" t="s">
        <v>227</v>
      </c>
      <c r="C102" s="185" t="s">
        <v>320</v>
      </c>
      <c r="D102" s="186"/>
      <c r="E102" s="186"/>
      <c r="F102" s="57" t="s">
        <v>334</v>
      </c>
      <c r="G102" s="65">
        <v>1</v>
      </c>
      <c r="H102" s="65">
        <v>0</v>
      </c>
      <c r="I102" s="65">
        <f>G102*AN102</f>
        <v>0</v>
      </c>
      <c r="J102" s="65">
        <f>G102*AO102</f>
        <v>0</v>
      </c>
      <c r="K102" s="65">
        <f>G102*H102</f>
        <v>0</v>
      </c>
      <c r="L102" s="18"/>
      <c r="Y102" s="40">
        <f>IF(AP102="5",BI102,0)</f>
        <v>0</v>
      </c>
      <c r="AA102" s="40">
        <f>IF(AP102="1",BG102,0)</f>
        <v>0</v>
      </c>
      <c r="AB102" s="40">
        <f>IF(AP102="1",BH102,0)</f>
        <v>0</v>
      </c>
      <c r="AC102" s="40">
        <f>IF(AP102="7",BG102,0)</f>
        <v>0</v>
      </c>
      <c r="AD102" s="40">
        <f>IF(AP102="7",BH102,0)</f>
        <v>0</v>
      </c>
      <c r="AE102" s="40">
        <f>IF(AP102="2",BG102,0)</f>
        <v>0</v>
      </c>
      <c r="AF102" s="40">
        <f>IF(AP102="2",BH102,0)</f>
        <v>0</v>
      </c>
      <c r="AG102" s="40">
        <f>IF(AP102="0",BI102,0)</f>
        <v>0</v>
      </c>
      <c r="AH102" s="68" t="s">
        <v>87</v>
      </c>
      <c r="AI102" s="65">
        <f>IF(AM102=0,K102,0)</f>
        <v>0</v>
      </c>
      <c r="AJ102" s="65">
        <f>IF(AM102=15,K102,0)</f>
        <v>0</v>
      </c>
      <c r="AK102" s="65">
        <f>IF(AM102=21,K102,0)</f>
        <v>0</v>
      </c>
      <c r="AM102" s="40">
        <v>21</v>
      </c>
      <c r="AN102" s="40">
        <f>H102*1</f>
        <v>0</v>
      </c>
      <c r="AO102" s="40">
        <f>H102*(1-1)</f>
        <v>0</v>
      </c>
      <c r="AP102" s="70" t="s">
        <v>352</v>
      </c>
      <c r="AU102" s="40">
        <f>AV102+AW102</f>
        <v>0</v>
      </c>
      <c r="AV102" s="40">
        <f>G102*AN102</f>
        <v>0</v>
      </c>
      <c r="AW102" s="40">
        <f>G102*AO102</f>
        <v>0</v>
      </c>
      <c r="AX102" s="71" t="s">
        <v>375</v>
      </c>
      <c r="AY102" s="71" t="s">
        <v>390</v>
      </c>
      <c r="AZ102" s="68" t="s">
        <v>395</v>
      </c>
      <c r="BB102" s="40">
        <f>AV102+AW102</f>
        <v>0</v>
      </c>
      <c r="BC102" s="40">
        <f>H102/(100-BD102)*100</f>
        <v>0</v>
      </c>
      <c r="BD102" s="40">
        <v>0</v>
      </c>
      <c r="BE102" s="40">
        <f>102</f>
        <v>102</v>
      </c>
      <c r="BG102" s="65">
        <f>G102*AN102</f>
        <v>0</v>
      </c>
      <c r="BH102" s="65">
        <f>G102*AO102</f>
        <v>0</v>
      </c>
      <c r="BI102" s="65">
        <f>G102*H102</f>
        <v>0</v>
      </c>
      <c r="BJ102" s="65" t="s">
        <v>219</v>
      </c>
      <c r="BK102" s="40"/>
    </row>
    <row r="103" spans="1:12" ht="12.75">
      <c r="A103" s="52"/>
      <c r="B103" s="59"/>
      <c r="C103" s="187" t="s">
        <v>76</v>
      </c>
      <c r="D103" s="188"/>
      <c r="E103" s="188"/>
      <c r="F103" s="62" t="s">
        <v>70</v>
      </c>
      <c r="G103" s="62" t="s">
        <v>70</v>
      </c>
      <c r="H103" s="62" t="s">
        <v>70</v>
      </c>
      <c r="I103" s="74">
        <f>I104+I106+I109</f>
        <v>0</v>
      </c>
      <c r="J103" s="74">
        <f>J104+J106+J109</f>
        <v>0</v>
      </c>
      <c r="K103" s="74">
        <f>K104+K106+K109</f>
        <v>0</v>
      </c>
      <c r="L103" s="18"/>
    </row>
    <row r="104" spans="1:46" ht="12.75">
      <c r="A104" s="49"/>
      <c r="B104" s="55" t="s">
        <v>219</v>
      </c>
      <c r="C104" s="181" t="s">
        <v>310</v>
      </c>
      <c r="D104" s="182"/>
      <c r="E104" s="182"/>
      <c r="F104" s="61" t="s">
        <v>70</v>
      </c>
      <c r="G104" s="61" t="s">
        <v>70</v>
      </c>
      <c r="H104" s="61" t="s">
        <v>70</v>
      </c>
      <c r="I104" s="73">
        <f>SUM(I105:I105)</f>
        <v>0</v>
      </c>
      <c r="J104" s="73">
        <f>SUM(J105:J105)</f>
        <v>0</v>
      </c>
      <c r="K104" s="73">
        <f>SUM(K105:K105)</f>
        <v>0</v>
      </c>
      <c r="L104" s="18"/>
      <c r="AH104" s="68" t="s">
        <v>88</v>
      </c>
      <c r="AR104" s="73">
        <f>SUM(AI105:AI105)</f>
        <v>0</v>
      </c>
      <c r="AS104" s="73">
        <f>SUM(AJ105:AJ105)</f>
        <v>0</v>
      </c>
      <c r="AT104" s="73">
        <f>SUM(AK105:AK105)</f>
        <v>0</v>
      </c>
    </row>
    <row r="105" spans="1:63" ht="12.75">
      <c r="A105" s="50" t="s">
        <v>159</v>
      </c>
      <c r="B105" s="56" t="s">
        <v>228</v>
      </c>
      <c r="C105" s="179" t="s">
        <v>321</v>
      </c>
      <c r="D105" s="180"/>
      <c r="E105" s="180"/>
      <c r="F105" s="56" t="s">
        <v>67</v>
      </c>
      <c r="G105" s="64">
        <v>1488.97</v>
      </c>
      <c r="H105" s="64">
        <v>0</v>
      </c>
      <c r="I105" s="64">
        <f>G105*AN105</f>
        <v>0</v>
      </c>
      <c r="J105" s="64">
        <f>G105*AO105</f>
        <v>0</v>
      </c>
      <c r="K105" s="64">
        <f>G105*H105</f>
        <v>0</v>
      </c>
      <c r="L105" s="18"/>
      <c r="Y105" s="40">
        <f>IF(AP105="5",BI105,0)</f>
        <v>0</v>
      </c>
      <c r="AA105" s="40">
        <f>IF(AP105="1",BG105,0)</f>
        <v>0</v>
      </c>
      <c r="AB105" s="40">
        <f>IF(AP105="1",BH105,0)</f>
        <v>0</v>
      </c>
      <c r="AC105" s="40">
        <f>IF(AP105="7",BG105,0)</f>
        <v>0</v>
      </c>
      <c r="AD105" s="40">
        <f>IF(AP105="7",BH105,0)</f>
        <v>0</v>
      </c>
      <c r="AE105" s="40">
        <f>IF(AP105="2",BG105,0)</f>
        <v>0</v>
      </c>
      <c r="AF105" s="40">
        <f>IF(AP105="2",BH105,0)</f>
        <v>0</v>
      </c>
      <c r="AG105" s="40">
        <f>IF(AP105="0",BI105,0)</f>
        <v>0</v>
      </c>
      <c r="AH105" s="68" t="s">
        <v>88</v>
      </c>
      <c r="AI105" s="64">
        <f>IF(AM105=0,K105,0)</f>
        <v>0</v>
      </c>
      <c r="AJ105" s="64">
        <f>IF(AM105=15,K105,0)</f>
        <v>0</v>
      </c>
      <c r="AK105" s="64">
        <f>IF(AM105=21,K105,0)</f>
        <v>0</v>
      </c>
      <c r="AM105" s="40">
        <v>21</v>
      </c>
      <c r="AN105" s="40">
        <f>H105*0</f>
        <v>0</v>
      </c>
      <c r="AO105" s="40">
        <f>H105*(1-0)</f>
        <v>0</v>
      </c>
      <c r="AP105" s="69" t="s">
        <v>92</v>
      </c>
      <c r="AU105" s="40">
        <f>AV105+AW105</f>
        <v>0</v>
      </c>
      <c r="AV105" s="40">
        <f>G105*AN105</f>
        <v>0</v>
      </c>
      <c r="AW105" s="40">
        <f>G105*AO105</f>
        <v>0</v>
      </c>
      <c r="AX105" s="71" t="s">
        <v>371</v>
      </c>
      <c r="AY105" s="71" t="s">
        <v>391</v>
      </c>
      <c r="AZ105" s="68" t="s">
        <v>396</v>
      </c>
      <c r="BB105" s="40">
        <f>AV105+AW105</f>
        <v>0</v>
      </c>
      <c r="BC105" s="40">
        <f>H105/(100-BD105)*100</f>
        <v>0</v>
      </c>
      <c r="BD105" s="40">
        <v>0</v>
      </c>
      <c r="BE105" s="40">
        <f>105</f>
        <v>105</v>
      </c>
      <c r="BG105" s="64">
        <f>G105*AN105</f>
        <v>0</v>
      </c>
      <c r="BH105" s="64">
        <f>G105*AO105</f>
        <v>0</v>
      </c>
      <c r="BI105" s="64">
        <f>G105*H105</f>
        <v>0</v>
      </c>
      <c r="BJ105" s="64" t="s">
        <v>401</v>
      </c>
      <c r="BK105" s="40" t="s">
        <v>219</v>
      </c>
    </row>
    <row r="106" spans="1:46" ht="12.75">
      <c r="A106" s="49"/>
      <c r="B106" s="55" t="s">
        <v>229</v>
      </c>
      <c r="C106" s="181" t="s">
        <v>322</v>
      </c>
      <c r="D106" s="182"/>
      <c r="E106" s="182"/>
      <c r="F106" s="61" t="s">
        <v>70</v>
      </c>
      <c r="G106" s="61" t="s">
        <v>70</v>
      </c>
      <c r="H106" s="61" t="s">
        <v>70</v>
      </c>
      <c r="I106" s="73">
        <f>SUM(I107:I107)</f>
        <v>0</v>
      </c>
      <c r="J106" s="73">
        <f>SUM(J107:J107)</f>
        <v>0</v>
      </c>
      <c r="K106" s="73">
        <f>SUM(K107:K107)</f>
        <v>0</v>
      </c>
      <c r="L106" s="18"/>
      <c r="AH106" s="68" t="s">
        <v>88</v>
      </c>
      <c r="AR106" s="73">
        <f>SUM(AI107:AI107)</f>
        <v>0</v>
      </c>
      <c r="AS106" s="73">
        <f>SUM(AJ107:AJ107)</f>
        <v>0</v>
      </c>
      <c r="AT106" s="73">
        <f>SUM(AK107:AK107)</f>
        <v>0</v>
      </c>
    </row>
    <row r="107" spans="1:63" ht="12.75">
      <c r="A107" s="50" t="s">
        <v>160</v>
      </c>
      <c r="B107" s="56" t="s">
        <v>230</v>
      </c>
      <c r="C107" s="179" t="s">
        <v>323</v>
      </c>
      <c r="D107" s="180"/>
      <c r="E107" s="180"/>
      <c r="F107" s="56" t="s">
        <v>335</v>
      </c>
      <c r="G107" s="64">
        <v>39.65</v>
      </c>
      <c r="H107" s="64">
        <v>0</v>
      </c>
      <c r="I107" s="64">
        <f>G107*AN107</f>
        <v>0</v>
      </c>
      <c r="J107" s="64">
        <f>G107*AO107</f>
        <v>0</v>
      </c>
      <c r="K107" s="64">
        <f>G107*H107</f>
        <v>0</v>
      </c>
      <c r="L107" s="18"/>
      <c r="Y107" s="40">
        <f>IF(AP107="5",BI107,0)</f>
        <v>0</v>
      </c>
      <c r="AA107" s="40">
        <f>IF(AP107="1",BG107,0)</f>
        <v>0</v>
      </c>
      <c r="AB107" s="40">
        <f>IF(AP107="1",BH107,0)</f>
        <v>0</v>
      </c>
      <c r="AC107" s="40">
        <f>IF(AP107="7",BG107,0)</f>
        <v>0</v>
      </c>
      <c r="AD107" s="40">
        <f>IF(AP107="7",BH107,0)</f>
        <v>0</v>
      </c>
      <c r="AE107" s="40">
        <f>IF(AP107="2",BG107,0)</f>
        <v>0</v>
      </c>
      <c r="AF107" s="40">
        <f>IF(AP107="2",BH107,0)</f>
        <v>0</v>
      </c>
      <c r="AG107" s="40">
        <f>IF(AP107="0",BI107,0)</f>
        <v>0</v>
      </c>
      <c r="AH107" s="68" t="s">
        <v>88</v>
      </c>
      <c r="AI107" s="64">
        <f>IF(AM107=0,K107,0)</f>
        <v>0</v>
      </c>
      <c r="AJ107" s="64">
        <f>IF(AM107=15,K107,0)</f>
        <v>0</v>
      </c>
      <c r="AK107" s="64">
        <f>IF(AM107=21,K107,0)</f>
        <v>0</v>
      </c>
      <c r="AM107" s="40">
        <v>21</v>
      </c>
      <c r="AN107" s="40">
        <f>H107*0.439680050769642</f>
        <v>0</v>
      </c>
      <c r="AO107" s="40">
        <f>H107*(1-0.439680050769642)</f>
        <v>0</v>
      </c>
      <c r="AP107" s="69" t="s">
        <v>92</v>
      </c>
      <c r="AU107" s="40">
        <f>AV107+AW107</f>
        <v>0</v>
      </c>
      <c r="AV107" s="40">
        <f>G107*AN107</f>
        <v>0</v>
      </c>
      <c r="AW107" s="40">
        <f>G107*AO107</f>
        <v>0</v>
      </c>
      <c r="AX107" s="71" t="s">
        <v>376</v>
      </c>
      <c r="AY107" s="71" t="s">
        <v>391</v>
      </c>
      <c r="AZ107" s="68" t="s">
        <v>396</v>
      </c>
      <c r="BB107" s="40">
        <f>AV107+AW107</f>
        <v>0</v>
      </c>
      <c r="BC107" s="40">
        <f>H107/(100-BD107)*100</f>
        <v>0</v>
      </c>
      <c r="BD107" s="40">
        <v>0</v>
      </c>
      <c r="BE107" s="40">
        <f>107</f>
        <v>107</v>
      </c>
      <c r="BG107" s="64">
        <f>G107*AN107</f>
        <v>0</v>
      </c>
      <c r="BH107" s="64">
        <f>G107*AO107</f>
        <v>0</v>
      </c>
      <c r="BI107" s="64">
        <f>G107*H107</f>
        <v>0</v>
      </c>
      <c r="BJ107" s="64" t="s">
        <v>401</v>
      </c>
      <c r="BK107" s="40" t="s">
        <v>229</v>
      </c>
    </row>
    <row r="108" spans="1:12" ht="12.75">
      <c r="A108" s="18"/>
      <c r="B108" s="58" t="s">
        <v>189</v>
      </c>
      <c r="C108" s="183" t="s">
        <v>324</v>
      </c>
      <c r="D108" s="184"/>
      <c r="E108" s="184"/>
      <c r="F108" s="184"/>
      <c r="G108" s="184"/>
      <c r="H108" s="184"/>
      <c r="I108" s="184"/>
      <c r="J108" s="184"/>
      <c r="K108" s="184"/>
      <c r="L108" s="18"/>
    </row>
    <row r="109" spans="1:46" ht="12.75">
      <c r="A109" s="49"/>
      <c r="B109" s="55" t="s">
        <v>231</v>
      </c>
      <c r="C109" s="181" t="s">
        <v>325</v>
      </c>
      <c r="D109" s="182"/>
      <c r="E109" s="182"/>
      <c r="F109" s="61" t="s">
        <v>70</v>
      </c>
      <c r="G109" s="61" t="s">
        <v>70</v>
      </c>
      <c r="H109" s="61" t="s">
        <v>70</v>
      </c>
      <c r="I109" s="73">
        <f>SUM(I110:I111)</f>
        <v>0</v>
      </c>
      <c r="J109" s="73">
        <f>SUM(J110:J111)</f>
        <v>0</v>
      </c>
      <c r="K109" s="73">
        <f>SUM(K110:K111)</f>
        <v>0</v>
      </c>
      <c r="L109" s="18"/>
      <c r="AH109" s="68" t="s">
        <v>88</v>
      </c>
      <c r="AR109" s="73">
        <f>SUM(AI110:AI111)</f>
        <v>0</v>
      </c>
      <c r="AS109" s="73">
        <f>SUM(AJ110:AJ111)</f>
        <v>0</v>
      </c>
      <c r="AT109" s="73">
        <f>SUM(AK110:AK111)</f>
        <v>0</v>
      </c>
    </row>
    <row r="110" spans="1:63" ht="12.75">
      <c r="A110" s="50" t="s">
        <v>161</v>
      </c>
      <c r="B110" s="56" t="s">
        <v>232</v>
      </c>
      <c r="C110" s="179" t="s">
        <v>326</v>
      </c>
      <c r="D110" s="180"/>
      <c r="E110" s="180"/>
      <c r="F110" s="56" t="s">
        <v>335</v>
      </c>
      <c r="G110" s="64">
        <v>42</v>
      </c>
      <c r="H110" s="64">
        <v>0</v>
      </c>
      <c r="I110" s="64">
        <f>G110*AN110</f>
        <v>0</v>
      </c>
      <c r="J110" s="64">
        <f>G110*AO110</f>
        <v>0</v>
      </c>
      <c r="K110" s="64">
        <f>G110*H110</f>
        <v>0</v>
      </c>
      <c r="L110" s="18"/>
      <c r="Y110" s="40">
        <f>IF(AP110="5",BI110,0)</f>
        <v>0</v>
      </c>
      <c r="AA110" s="40">
        <f>IF(AP110="1",BG110,0)</f>
        <v>0</v>
      </c>
      <c r="AB110" s="40">
        <f>IF(AP110="1",BH110,0)</f>
        <v>0</v>
      </c>
      <c r="AC110" s="40">
        <f>IF(AP110="7",BG110,0)</f>
        <v>0</v>
      </c>
      <c r="AD110" s="40">
        <f>IF(AP110="7",BH110,0)</f>
        <v>0</v>
      </c>
      <c r="AE110" s="40">
        <f>IF(AP110="2",BG110,0)</f>
        <v>0</v>
      </c>
      <c r="AF110" s="40">
        <f>IF(AP110="2",BH110,0)</f>
        <v>0</v>
      </c>
      <c r="AG110" s="40">
        <f>IF(AP110="0",BI110,0)</f>
        <v>0</v>
      </c>
      <c r="AH110" s="68" t="s">
        <v>88</v>
      </c>
      <c r="AI110" s="64">
        <f>IF(AM110=0,K110,0)</f>
        <v>0</v>
      </c>
      <c r="AJ110" s="64">
        <f>IF(AM110=15,K110,0)</f>
        <v>0</v>
      </c>
      <c r="AK110" s="64">
        <f>IF(AM110=21,K110,0)</f>
        <v>0</v>
      </c>
      <c r="AM110" s="40">
        <v>21</v>
      </c>
      <c r="AN110" s="40">
        <f>H110*0.83694474539545</f>
        <v>0</v>
      </c>
      <c r="AO110" s="40">
        <f>H110*(1-0.83694474539545)</f>
        <v>0</v>
      </c>
      <c r="AP110" s="69" t="s">
        <v>92</v>
      </c>
      <c r="AU110" s="40">
        <f>AV110+AW110</f>
        <v>0</v>
      </c>
      <c r="AV110" s="40">
        <f>G110*AN110</f>
        <v>0</v>
      </c>
      <c r="AW110" s="40">
        <f>G110*AO110</f>
        <v>0</v>
      </c>
      <c r="AX110" s="71" t="s">
        <v>377</v>
      </c>
      <c r="AY110" s="71" t="s">
        <v>391</v>
      </c>
      <c r="AZ110" s="68" t="s">
        <v>396</v>
      </c>
      <c r="BB110" s="40">
        <f>AV110+AW110</f>
        <v>0</v>
      </c>
      <c r="BC110" s="40">
        <f>H110/(100-BD110)*100</f>
        <v>0</v>
      </c>
      <c r="BD110" s="40">
        <v>0</v>
      </c>
      <c r="BE110" s="40">
        <f>110</f>
        <v>110</v>
      </c>
      <c r="BG110" s="64">
        <f>G110*AN110</f>
        <v>0</v>
      </c>
      <c r="BH110" s="64">
        <f>G110*AO110</f>
        <v>0</v>
      </c>
      <c r="BI110" s="64">
        <f>G110*H110</f>
        <v>0</v>
      </c>
      <c r="BJ110" s="64" t="s">
        <v>401</v>
      </c>
      <c r="BK110" s="40" t="s">
        <v>231</v>
      </c>
    </row>
    <row r="111" spans="1:63" ht="12.75">
      <c r="A111" s="53" t="s">
        <v>56</v>
      </c>
      <c r="B111" s="60" t="s">
        <v>233</v>
      </c>
      <c r="C111" s="177" t="s">
        <v>327</v>
      </c>
      <c r="D111" s="178"/>
      <c r="E111" s="178"/>
      <c r="F111" s="60" t="s">
        <v>334</v>
      </c>
      <c r="G111" s="66">
        <v>1</v>
      </c>
      <c r="H111" s="66">
        <v>0</v>
      </c>
      <c r="I111" s="66">
        <f>G111*AN111</f>
        <v>0</v>
      </c>
      <c r="J111" s="66">
        <f>G111*AO111</f>
        <v>0</v>
      </c>
      <c r="K111" s="66">
        <f>G111*H111</f>
        <v>0</v>
      </c>
      <c r="L111" s="18"/>
      <c r="Y111" s="40">
        <f>IF(AP111="5",BI111,0)</f>
        <v>0</v>
      </c>
      <c r="AA111" s="40">
        <f>IF(AP111="1",BG111,0)</f>
        <v>0</v>
      </c>
      <c r="AB111" s="40">
        <f>IF(AP111="1",BH111,0)</f>
        <v>0</v>
      </c>
      <c r="AC111" s="40">
        <f>IF(AP111="7",BG111,0)</f>
        <v>0</v>
      </c>
      <c r="AD111" s="40">
        <f>IF(AP111="7",BH111,0)</f>
        <v>0</v>
      </c>
      <c r="AE111" s="40">
        <f>IF(AP111="2",BG111,0)</f>
        <v>0</v>
      </c>
      <c r="AF111" s="40">
        <f>IF(AP111="2",BH111,0)</f>
        <v>0</v>
      </c>
      <c r="AG111" s="40">
        <f>IF(AP111="0",BI111,0)</f>
        <v>0</v>
      </c>
      <c r="AH111" s="68" t="s">
        <v>88</v>
      </c>
      <c r="AI111" s="64">
        <f>IF(AM111=0,K111,0)</f>
        <v>0</v>
      </c>
      <c r="AJ111" s="64">
        <f>IF(AM111=15,K111,0)</f>
        <v>0</v>
      </c>
      <c r="AK111" s="64">
        <f>IF(AM111=21,K111,0)</f>
        <v>0</v>
      </c>
      <c r="AM111" s="40">
        <v>21</v>
      </c>
      <c r="AN111" s="40">
        <f>H111*0</f>
        <v>0</v>
      </c>
      <c r="AO111" s="40">
        <f>H111*(1-0)</f>
        <v>0</v>
      </c>
      <c r="AP111" s="69" t="s">
        <v>92</v>
      </c>
      <c r="AU111" s="40">
        <f>AV111+AW111</f>
        <v>0</v>
      </c>
      <c r="AV111" s="40">
        <f>G111*AN111</f>
        <v>0</v>
      </c>
      <c r="AW111" s="40">
        <f>G111*AO111</f>
        <v>0</v>
      </c>
      <c r="AX111" s="71" t="s">
        <v>377</v>
      </c>
      <c r="AY111" s="71" t="s">
        <v>391</v>
      </c>
      <c r="AZ111" s="68" t="s">
        <v>396</v>
      </c>
      <c r="BB111" s="40">
        <f>AV111+AW111</f>
        <v>0</v>
      </c>
      <c r="BC111" s="40">
        <f>H111/(100-BD111)*100</f>
        <v>0</v>
      </c>
      <c r="BD111" s="40">
        <v>0</v>
      </c>
      <c r="BE111" s="40">
        <f>111</f>
        <v>111</v>
      </c>
      <c r="BG111" s="64">
        <f>G111*AN111</f>
        <v>0</v>
      </c>
      <c r="BH111" s="64">
        <f>G111*AO111</f>
        <v>0</v>
      </c>
      <c r="BI111" s="64">
        <f>G111*H111</f>
        <v>0</v>
      </c>
      <c r="BJ111" s="64" t="s">
        <v>401</v>
      </c>
      <c r="BK111" s="40" t="s">
        <v>231</v>
      </c>
    </row>
    <row r="112" spans="1:11" ht="12.75">
      <c r="A112" s="5"/>
      <c r="B112" s="5"/>
      <c r="C112" s="5"/>
      <c r="D112" s="5"/>
      <c r="E112" s="5"/>
      <c r="F112" s="5"/>
      <c r="G112" s="5"/>
      <c r="H112" s="5"/>
      <c r="I112" s="158" t="s">
        <v>81</v>
      </c>
      <c r="J112" s="132"/>
      <c r="K112" s="45">
        <f>K13+K16+K18+K21+K24+K28+K30+K32+K35+K40+K43+K47+K49+K54+K59+K61+K66+K70+K74+K76+K85+K88+K90+K92+K95+K98+K101+K104+K106+K109</f>
        <v>0</v>
      </c>
    </row>
    <row r="113" ht="11.25" customHeight="1">
      <c r="A113" s="34" t="s">
        <v>18</v>
      </c>
    </row>
    <row r="114" spans="1:11" ht="12.75">
      <c r="A114" s="97"/>
      <c r="B114" s="98"/>
      <c r="C114" s="98"/>
      <c r="D114" s="98"/>
      <c r="E114" s="98"/>
      <c r="F114" s="98"/>
      <c r="G114" s="98"/>
      <c r="H114" s="98"/>
      <c r="I114" s="98"/>
      <c r="J114" s="98"/>
      <c r="K114" s="98"/>
    </row>
  </sheetData>
  <sheetProtection/>
  <mergeCells count="130">
    <mergeCell ref="A1:K1"/>
    <mergeCell ref="A2:B3"/>
    <mergeCell ref="C2:C3"/>
    <mergeCell ref="D2:E3"/>
    <mergeCell ref="F2:G3"/>
    <mergeCell ref="H2:H3"/>
    <mergeCell ref="I2:K3"/>
    <mergeCell ref="A4:B5"/>
    <mergeCell ref="C4:C5"/>
    <mergeCell ref="D4:E5"/>
    <mergeCell ref="F4:G5"/>
    <mergeCell ref="H4:H5"/>
    <mergeCell ref="I4:K5"/>
    <mergeCell ref="A6:B7"/>
    <mergeCell ref="C6:C7"/>
    <mergeCell ref="D6:E7"/>
    <mergeCell ref="F6:G7"/>
    <mergeCell ref="H6:H7"/>
    <mergeCell ref="I6:K7"/>
    <mergeCell ref="A8:B9"/>
    <mergeCell ref="C8:C9"/>
    <mergeCell ref="D8:E9"/>
    <mergeCell ref="F8:G9"/>
    <mergeCell ref="H8:H9"/>
    <mergeCell ref="I8:K9"/>
    <mergeCell ref="C10:E10"/>
    <mergeCell ref="I10:K10"/>
    <mergeCell ref="C11:E11"/>
    <mergeCell ref="C12:E12"/>
    <mergeCell ref="C13:E13"/>
    <mergeCell ref="C14:E14"/>
    <mergeCell ref="C15:E15"/>
    <mergeCell ref="C16:E16"/>
    <mergeCell ref="C17:E17"/>
    <mergeCell ref="C18:E18"/>
    <mergeCell ref="C19:E19"/>
    <mergeCell ref="C20:E20"/>
    <mergeCell ref="C21:E21"/>
    <mergeCell ref="C22:E22"/>
    <mergeCell ref="C23:E23"/>
    <mergeCell ref="C24:E24"/>
    <mergeCell ref="C25:E25"/>
    <mergeCell ref="C26:E26"/>
    <mergeCell ref="C27:E27"/>
    <mergeCell ref="C28:E28"/>
    <mergeCell ref="C29:E29"/>
    <mergeCell ref="C30:E30"/>
    <mergeCell ref="C31:E31"/>
    <mergeCell ref="C32:E32"/>
    <mergeCell ref="C33:E33"/>
    <mergeCell ref="C34:E34"/>
    <mergeCell ref="C35:E35"/>
    <mergeCell ref="C36:E36"/>
    <mergeCell ref="C37:E37"/>
    <mergeCell ref="C38:E38"/>
    <mergeCell ref="C39:E39"/>
    <mergeCell ref="C40:E40"/>
    <mergeCell ref="C41:E41"/>
    <mergeCell ref="C42:E42"/>
    <mergeCell ref="C43:E43"/>
    <mergeCell ref="C44:E44"/>
    <mergeCell ref="C45:E45"/>
    <mergeCell ref="C46:E46"/>
    <mergeCell ref="C47:E47"/>
    <mergeCell ref="C48:E48"/>
    <mergeCell ref="C49:E49"/>
    <mergeCell ref="C50:E50"/>
    <mergeCell ref="C51:K51"/>
    <mergeCell ref="C52:E52"/>
    <mergeCell ref="C53:E53"/>
    <mergeCell ref="C54:E54"/>
    <mergeCell ref="C55:E55"/>
    <mergeCell ref="C56:E56"/>
    <mergeCell ref="C57:E57"/>
    <mergeCell ref="C58:E58"/>
    <mergeCell ref="C59:E59"/>
    <mergeCell ref="C60:E60"/>
    <mergeCell ref="C61:E61"/>
    <mergeCell ref="C62:E62"/>
    <mergeCell ref="C63:E63"/>
    <mergeCell ref="C64:E64"/>
    <mergeCell ref="C65:E65"/>
    <mergeCell ref="C66:E66"/>
    <mergeCell ref="C67:E67"/>
    <mergeCell ref="C68:E68"/>
    <mergeCell ref="C69:E69"/>
    <mergeCell ref="C70:E70"/>
    <mergeCell ref="C71:E71"/>
    <mergeCell ref="C72:K72"/>
    <mergeCell ref="C73:E73"/>
    <mergeCell ref="C74:E74"/>
    <mergeCell ref="C75:E75"/>
    <mergeCell ref="C76:E76"/>
    <mergeCell ref="C77:E77"/>
    <mergeCell ref="C78:E78"/>
    <mergeCell ref="C79:K79"/>
    <mergeCell ref="C80:E80"/>
    <mergeCell ref="C81:E81"/>
    <mergeCell ref="C82:E82"/>
    <mergeCell ref="C83:E83"/>
    <mergeCell ref="C84:E84"/>
    <mergeCell ref="C85:E85"/>
    <mergeCell ref="C86:E86"/>
    <mergeCell ref="C87:E87"/>
    <mergeCell ref="C88:E88"/>
    <mergeCell ref="C89:E89"/>
    <mergeCell ref="C90:E90"/>
    <mergeCell ref="C91:E91"/>
    <mergeCell ref="C92:E92"/>
    <mergeCell ref="C93:E93"/>
    <mergeCell ref="C94:E94"/>
    <mergeCell ref="C95:E95"/>
    <mergeCell ref="C96:E96"/>
    <mergeCell ref="C97:K97"/>
    <mergeCell ref="C98:E98"/>
    <mergeCell ref="C99:E99"/>
    <mergeCell ref="C100:K100"/>
    <mergeCell ref="C101:E101"/>
    <mergeCell ref="C102:E102"/>
    <mergeCell ref="C103:E103"/>
    <mergeCell ref="C104:E104"/>
    <mergeCell ref="C111:E111"/>
    <mergeCell ref="I112:J112"/>
    <mergeCell ref="A114:K114"/>
    <mergeCell ref="C105:E105"/>
    <mergeCell ref="C106:E106"/>
    <mergeCell ref="C107:E107"/>
    <mergeCell ref="C108:K108"/>
    <mergeCell ref="C109:E109"/>
    <mergeCell ref="C110:E110"/>
  </mergeCells>
  <printOptions horizontalCentered="1"/>
  <pageMargins left="1.1811023622047245" right="0.3937007874015748" top="0.5905511811023623" bottom="0.5905511811023623" header="0.5118110236220472" footer="0.5118110236220472"/>
  <pageSetup fitToHeight="0" fitToWidth="1" horizontalDpi="600" verticalDpi="600" orientation="landscape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Zbyněk Moravec</dc:creator>
  <cp:keywords/>
  <dc:description/>
  <cp:lastModifiedBy>Zbyněk Moravec</cp:lastModifiedBy>
  <cp:lastPrinted>2021-06-09T14:03:16Z</cp:lastPrinted>
  <dcterms:created xsi:type="dcterms:W3CDTF">2021-08-03T07:47:21Z</dcterms:created>
  <dcterms:modified xsi:type="dcterms:W3CDTF">2021-08-03T07:47:21Z</dcterms:modified>
  <cp:category/>
  <cp:version/>
  <cp:contentType/>
  <cp:contentStatus/>
</cp:coreProperties>
</file>