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430"/>
  <workbookPr filterPrivacy="1" defaultThemeVersion="166925"/>
  <bookViews>
    <workbookView xWindow="36616" yWindow="65416" windowWidth="29040" windowHeight="17790" activeTab="0"/>
  </bookViews>
  <sheets>
    <sheet name="Krycí list rozpočtu" sheetId="1" r:id="rId1"/>
    <sheet name="Rozpočet - objekty" sheetId="2" r:id="rId2"/>
    <sheet name="Stavební rozpočet" sheetId="3" r:id="rId3"/>
    <sheet name="Krycí list rozpočtu (IO 01)" sheetId="4" r:id="rId4"/>
    <sheet name="Stavební rozpočet (IO 01)" sheetId="5" r:id="rId5"/>
    <sheet name="Krycí list rozpočtu (SO 01)" sheetId="6" r:id="rId6"/>
    <sheet name="Stavební rozpočet (SO 01)" sheetId="7" r:id="rId7"/>
    <sheet name="Krycí list rozpočtu (SO 02)" sheetId="8" r:id="rId8"/>
    <sheet name="Stavební rozpočet (SO 02)" sheetId="9" r:id="rId9"/>
    <sheet name="Krycí list rozpočtu (SO 03)" sheetId="10" r:id="rId10"/>
    <sheet name="Stavební rozpočet (SO 03)" sheetId="11" r:id="rId11"/>
    <sheet name="Krycí list rozpočtu (VRN)" sheetId="12" r:id="rId12"/>
    <sheet name="Stavební rozpočet (VRN)" sheetId="13" r:id="rId13"/>
  </sheets>
  <definedNames/>
  <calcPr calcId="262143"/>
  <extLst/>
</workbook>
</file>

<file path=xl/sharedStrings.xml><?xml version="1.0" encoding="utf-8"?>
<sst xmlns="http://schemas.openxmlformats.org/spreadsheetml/2006/main" count="6504" uniqueCount="1059">
  <si>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</si>
  <si>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</si>
  <si>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</si>
  <si>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</si>
  <si>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</si>
  <si>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</si>
  <si>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</si>
  <si>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</si>
  <si>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</si>
  <si>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</si>
  <si>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</si>
  <si>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</si>
  <si>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</si>
  <si>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</si>
  <si>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</si>
  <si>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</si>
  <si>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</si>
  <si>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</si>
  <si>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</si>
  <si>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</si>
  <si>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</si>
  <si>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</si>
  <si>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</si>
  <si>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</si>
  <si>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</si>
  <si>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</si>
  <si>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</si>
  <si>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</si>
  <si>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</si>
  <si>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</si>
  <si>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</si>
  <si>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</si>
  <si>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</si>
  <si>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</si>
  <si>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</si>
  <si>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</si>
  <si>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</si>
  <si>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</si>
  <si>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</si>
  <si>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</si>
  <si>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</si>
  <si>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</si>
  <si>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</si>
  <si>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</si>
  <si>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</si>
  <si>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</si>
  <si>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</si>
  <si>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</si>
  <si>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</si>
  <si>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</si>
  <si>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</si>
  <si>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</si>
  <si>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</si>
  <si>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</si>
  <si>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</si>
  <si>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</si>
  <si>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66720222/CZ7308075478</t>
  </si>
  <si>
    <t>184</t>
  </si>
  <si>
    <t>Slepý stavební rozpočet - Jen objekty celkem</t>
  </si>
  <si>
    <t xml:space="preserve"> </t>
  </si>
  <si>
    <t>Objekt</t>
  </si>
  <si>
    <t>IO 01</t>
  </si>
  <si>
    <t>SO 01</t>
  </si>
  <si>
    <t>SO 02</t>
  </si>
  <si>
    <t>SO 03</t>
  </si>
  <si>
    <t>VRN</t>
  </si>
  <si>
    <t>Zkrácený popis</t>
  </si>
  <si>
    <t>Rekonstrukce stokové sítě</t>
  </si>
  <si>
    <t>Rekonstrukce zpevněných ploch</t>
  </si>
  <si>
    <t>Demolice a rekultivace zeleně</t>
  </si>
  <si>
    <t>Rekonstrukce zpevněných ploch (SO 01.5)</t>
  </si>
  <si>
    <t>Vedlejší rozpočtové náklady</t>
  </si>
  <si>
    <t>Doba výstavby:</t>
  </si>
  <si>
    <t>Zpracováno dne:</t>
  </si>
  <si>
    <t>Celkem:</t>
  </si>
  <si>
    <t>Náklady (Kč)</t>
  </si>
  <si>
    <t>Celkem</t>
  </si>
  <si>
    <t>F</t>
  </si>
  <si>
    <t>Slepý stavební rozpočet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</si>
  <si>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</si>
  <si>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</si>
  <si>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</si>
  <si>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</si>
  <si>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</si>
  <si>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</si>
  <si>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</si>
  <si>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</si>
  <si>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</si>
  <si>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</si>
  <si>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</si>
  <si>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</si>
  <si>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</si>
  <si>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</si>
  <si>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</si>
  <si>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</si>
  <si>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</si>
  <si>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</si>
  <si>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</si>
  <si>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</si>
  <si>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</si>
  <si>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</si>
  <si>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</si>
  <si>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</si>
  <si>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</si>
  <si>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</si>
  <si>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</si>
  <si>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</si>
  <si>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</si>
  <si>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</si>
  <si>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</si>
  <si>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</si>
  <si>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</si>
  <si>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</si>
  <si>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</si>
  <si>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</si>
  <si>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</si>
  <si>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</si>
  <si>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</si>
  <si>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</si>
  <si>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</si>
  <si>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</si>
  <si>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</si>
  <si>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</si>
  <si>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</si>
  <si>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</si>
  <si>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</si>
  <si>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</si>
  <si>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</si>
  <si>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</si>
  <si>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</si>
  <si>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</si>
  <si>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</si>
  <si>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</si>
  <si>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</si>
  <si>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</si>
  <si>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</si>
  <si>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</si>
  <si>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</si>
  <si>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</si>
  <si>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</si>
  <si>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</si>
  <si>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</si>
  <si>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</si>
  <si>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</si>
  <si>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</si>
  <si>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</si>
  <si>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</si>
  <si>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</si>
  <si>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</si>
  <si>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</si>
  <si>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</si>
  <si>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</si>
  <si>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</si>
  <si>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</si>
  <si>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</si>
  <si>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</si>
  <si>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</si>
  <si>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</si>
  <si>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</si>
  <si>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</si>
  <si>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</si>
  <si>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</si>
  <si>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</si>
  <si>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</si>
  <si>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</si>
  <si>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</si>
  <si>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</si>
  <si>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</si>
  <si>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</si>
  <si>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</si>
  <si>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</si>
  <si>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</si>
  <si>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</si>
  <si>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</si>
  <si>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</si>
  <si>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</si>
  <si>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</si>
  <si>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</si>
  <si>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</si>
  <si>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</si>
  <si>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</si>
  <si>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</si>
  <si>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</si>
  <si>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</si>
  <si>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</si>
  <si>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</si>
  <si>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</si>
  <si>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</si>
  <si>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</si>
  <si>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</si>
  <si>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</si>
  <si>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</si>
  <si>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</si>
  <si>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</si>
  <si>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</si>
  <si>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</si>
  <si>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</si>
  <si>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</si>
  <si>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</si>
  <si>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</si>
  <si>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</si>
  <si>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</si>
  <si>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</si>
  <si>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</si>
  <si>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</si>
  <si>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</si>
  <si>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</si>
  <si>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</si>
  <si>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</si>
  <si>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</si>
  <si>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</si>
  <si>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</si>
  <si>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</si>
  <si>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</si>
  <si>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</si>
  <si>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</si>
  <si>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</si>
  <si>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</si>
  <si>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</si>
  <si>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</si>
  <si>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</si>
  <si>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</si>
  <si>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</si>
  <si>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</si>
  <si>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</si>
  <si>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</si>
  <si>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</si>
  <si>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</si>
  <si>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</si>
  <si>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</si>
  <si>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</si>
  <si>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</si>
  <si>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</si>
  <si>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</si>
  <si>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</si>
  <si>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</si>
  <si>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</si>
  <si>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</si>
  <si>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</si>
  <si>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</si>
  <si>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</si>
  <si>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</si>
  <si>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</si>
  <si>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</si>
  <si>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</si>
  <si>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</si>
  <si>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</si>
  <si>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</si>
  <si>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</si>
  <si>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</si>
  <si>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</si>
  <si>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</si>
  <si>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</si>
  <si>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</si>
  <si>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</si>
  <si>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</si>
  <si>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</si>
  <si>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</si>
  <si>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</si>
  <si>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</si>
  <si>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</si>
  <si>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</si>
  <si>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</si>
  <si>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Kód</t>
  </si>
  <si>
    <t>113202111R00</t>
  </si>
  <si>
    <t>115101201R00</t>
  </si>
  <si>
    <t>115101301R00</t>
  </si>
  <si>
    <t>119001421R00</t>
  </si>
  <si>
    <t>119008000</t>
  </si>
  <si>
    <t>Varianta:</t>
  </si>
  <si>
    <t>113106121R00</t>
  </si>
  <si>
    <t>113107520R00</t>
  </si>
  <si>
    <t>130001101R00</t>
  </si>
  <si>
    <t>132201212R00</t>
  </si>
  <si>
    <t>132201219R00</t>
  </si>
  <si>
    <t>132301211R00</t>
  </si>
  <si>
    <t>132301219R00</t>
  </si>
  <si>
    <t>151101101R00</t>
  </si>
  <si>
    <t>151101111R00</t>
  </si>
  <si>
    <t>162701105R00</t>
  </si>
  <si>
    <t>162701109R00</t>
  </si>
  <si>
    <t>171201201R00</t>
  </si>
  <si>
    <t>174101101R00</t>
  </si>
  <si>
    <t>583418024</t>
  </si>
  <si>
    <t>175101101R00</t>
  </si>
  <si>
    <t>175101201R00</t>
  </si>
  <si>
    <t>58337306</t>
  </si>
  <si>
    <t>181101102R00</t>
  </si>
  <si>
    <t>199000002R00</t>
  </si>
  <si>
    <t>271531113R00</t>
  </si>
  <si>
    <t>271531120</t>
  </si>
  <si>
    <t>359901111R00</t>
  </si>
  <si>
    <t>451572111RK6</t>
  </si>
  <si>
    <t>451315111R01</t>
  </si>
  <si>
    <t>596811111R00</t>
  </si>
  <si>
    <t>592451180</t>
  </si>
  <si>
    <t>711</t>
  </si>
  <si>
    <t>711786001R01</t>
  </si>
  <si>
    <t>721</t>
  </si>
  <si>
    <t>721242001</t>
  </si>
  <si>
    <t>55243555</t>
  </si>
  <si>
    <t>721176137RP1</t>
  </si>
  <si>
    <t>28611261.A</t>
  </si>
  <si>
    <t>28651842.A</t>
  </si>
  <si>
    <t>42320139</t>
  </si>
  <si>
    <t>28651862.A</t>
  </si>
  <si>
    <t>721176138RP1</t>
  </si>
  <si>
    <t>28611264.A</t>
  </si>
  <si>
    <t>28651843.A</t>
  </si>
  <si>
    <t>42320144</t>
  </si>
  <si>
    <t>721100000</t>
  </si>
  <si>
    <t>871313121R00</t>
  </si>
  <si>
    <t>28611146.A</t>
  </si>
  <si>
    <t>871353121R00</t>
  </si>
  <si>
    <t>28611260.A</t>
  </si>
  <si>
    <t>28611262.A</t>
  </si>
  <si>
    <t>871373121R00</t>
  </si>
  <si>
    <t>28611263.A</t>
  </si>
  <si>
    <t>28611265.A</t>
  </si>
  <si>
    <t>28611267.A</t>
  </si>
  <si>
    <t>28611268.A</t>
  </si>
  <si>
    <t>28611272.A</t>
  </si>
  <si>
    <t>877353123R00</t>
  </si>
  <si>
    <t>28651693.A</t>
  </si>
  <si>
    <t>28651692.A</t>
  </si>
  <si>
    <t>28651662.A</t>
  </si>
  <si>
    <t>892591111R00</t>
  </si>
  <si>
    <t>892661111R00</t>
  </si>
  <si>
    <t>892855114R00</t>
  </si>
  <si>
    <t>892855115R00</t>
  </si>
  <si>
    <t>894118001R00</t>
  </si>
  <si>
    <t>894221221R00</t>
  </si>
  <si>
    <t>894431121RBB</t>
  </si>
  <si>
    <t>894431191RAB</t>
  </si>
  <si>
    <t>894431391RAA</t>
  </si>
  <si>
    <t>894431411RBB</t>
  </si>
  <si>
    <t>894431411RCB</t>
  </si>
  <si>
    <t>894431413RBB</t>
  </si>
  <si>
    <t>894431413RCB</t>
  </si>
  <si>
    <t>894431421RAB</t>
  </si>
  <si>
    <t>894431423RBB</t>
  </si>
  <si>
    <t>894431423RCB</t>
  </si>
  <si>
    <t>894431423RDB</t>
  </si>
  <si>
    <t>894431622RCB</t>
  </si>
  <si>
    <t>899311113R00</t>
  </si>
  <si>
    <t>55243345.1</t>
  </si>
  <si>
    <t>894211125</t>
  </si>
  <si>
    <t>894000000R</t>
  </si>
  <si>
    <t>892</t>
  </si>
  <si>
    <t>892551121</t>
  </si>
  <si>
    <t>899</t>
  </si>
  <si>
    <t>899722113</t>
  </si>
  <si>
    <t>917862111R01</t>
  </si>
  <si>
    <t>59217012</t>
  </si>
  <si>
    <t>971042441R00</t>
  </si>
  <si>
    <t>286111804</t>
  </si>
  <si>
    <t>286111803</t>
  </si>
  <si>
    <t>979054441R00</t>
  </si>
  <si>
    <t>M23</t>
  </si>
  <si>
    <t>230194007R00</t>
  </si>
  <si>
    <t>28614982.1</t>
  </si>
  <si>
    <t>28614981.1</t>
  </si>
  <si>
    <t>M46</t>
  </si>
  <si>
    <t>460510321R00</t>
  </si>
  <si>
    <t>S</t>
  </si>
  <si>
    <t>979083117R00</t>
  </si>
  <si>
    <t>979083191R00</t>
  </si>
  <si>
    <t>979086112R00</t>
  </si>
  <si>
    <t>979093111R00</t>
  </si>
  <si>
    <t>979990001R00</t>
  </si>
  <si>
    <t>979990103R00</t>
  </si>
  <si>
    <t>S00</t>
  </si>
  <si>
    <t>998276101R00</t>
  </si>
  <si>
    <t>564231111R00</t>
  </si>
  <si>
    <t>564811111RT2</t>
  </si>
  <si>
    <t>564851111RT4</t>
  </si>
  <si>
    <t>564861111RT4</t>
  </si>
  <si>
    <t>568111111R00</t>
  </si>
  <si>
    <t>69366201</t>
  </si>
  <si>
    <t>596215040R00</t>
  </si>
  <si>
    <t>59248030</t>
  </si>
  <si>
    <t>59217476</t>
  </si>
  <si>
    <t>935112114</t>
  </si>
  <si>
    <t>592275170</t>
  </si>
  <si>
    <t>935112115</t>
  </si>
  <si>
    <t>59227516</t>
  </si>
  <si>
    <t>998223011R00</t>
  </si>
  <si>
    <t>112101123R00</t>
  </si>
  <si>
    <t>112201103R00</t>
  </si>
  <si>
    <t>113107630R01</t>
  </si>
  <si>
    <t>113109408R00</t>
  </si>
  <si>
    <t>113151217R00</t>
  </si>
  <si>
    <t>113204111R00</t>
  </si>
  <si>
    <t>119110100</t>
  </si>
  <si>
    <t>120901123RT3</t>
  </si>
  <si>
    <t>121101100R00</t>
  </si>
  <si>
    <t>162301407R00</t>
  </si>
  <si>
    <t>162301417R00</t>
  </si>
  <si>
    <t>162301423R00</t>
  </si>
  <si>
    <t>167101101R00</t>
  </si>
  <si>
    <t>180400020RA0</t>
  </si>
  <si>
    <t>181301103R00</t>
  </si>
  <si>
    <t>10364200</t>
  </si>
  <si>
    <t>184807111R00</t>
  </si>
  <si>
    <t>184807112R00</t>
  </si>
  <si>
    <t>919735123R00</t>
  </si>
  <si>
    <t>938902122R00</t>
  </si>
  <si>
    <t>970051030R00</t>
  </si>
  <si>
    <t>979990108R00</t>
  </si>
  <si>
    <t>979990112R00</t>
  </si>
  <si>
    <t>979990161R00</t>
  </si>
  <si>
    <t>181301101R00</t>
  </si>
  <si>
    <t>899102111R00</t>
  </si>
  <si>
    <t>55340053</t>
  </si>
  <si>
    <t>59217480</t>
  </si>
  <si>
    <t>59217481</t>
  </si>
  <si>
    <t>919735112R00</t>
  </si>
  <si>
    <t>0</t>
  </si>
  <si>
    <t>080100101</t>
  </si>
  <si>
    <t>080100102</t>
  </si>
  <si>
    <t>080100103</t>
  </si>
  <si>
    <t>080100104</t>
  </si>
  <si>
    <t>080100105</t>
  </si>
  <si>
    <t>080100106</t>
  </si>
  <si>
    <t>080100107</t>
  </si>
  <si>
    <t>080100108</t>
  </si>
  <si>
    <t>080100109</t>
  </si>
  <si>
    <t>080100110</t>
  </si>
  <si>
    <t>Rekonstrukce kanalizace a zpevněných ploch Hlavní náměstí 9-12; Krnov</t>
  </si>
  <si>
    <t>Krnov</t>
  </si>
  <si>
    <t>Zkrácený popis / Varianta</t>
  </si>
  <si>
    <t>Rozměry</t>
  </si>
  <si>
    <t>Přípravné a přidružené práce</t>
  </si>
  <si>
    <t>Vytrhání obrub obrubníků silničních</t>
  </si>
  <si>
    <t>2   stoka A</t>
  </si>
  <si>
    <t>2   stoka A.1</t>
  </si>
  <si>
    <t>2   stoka A.2</t>
  </si>
  <si>
    <t>2   stoka B</t>
  </si>
  <si>
    <t>2   stoka B.1</t>
  </si>
  <si>
    <t>2   stoka B.2</t>
  </si>
  <si>
    <t>1,1   stoka B.3</t>
  </si>
  <si>
    <t>1,3   stoka B.4</t>
  </si>
  <si>
    <t>Čerpání vody na výšku do 10 m, přítok do 500 l/min</t>
  </si>
  <si>
    <t>80   </t>
  </si>
  <si>
    <t>Pohotovost čerp.soupravy, výška 10 m, přítok 500 l</t>
  </si>
  <si>
    <t>20   </t>
  </si>
  <si>
    <t>Dočasné zajištění kabelů - do počtu 3 kabelů</t>
  </si>
  <si>
    <t>2*1,0   stoka A.1 - NN, Cetin</t>
  </si>
  <si>
    <t>2*0,96   stoka A.2 - NN, Cetin</t>
  </si>
  <si>
    <t>1*0,96   stoka B - NN</t>
  </si>
  <si>
    <t>1*0,96   stoka B.3 - NN</t>
  </si>
  <si>
    <t>1*0,96   stoka B.4 - NN</t>
  </si>
  <si>
    <t>1*1,0   stoka C</t>
  </si>
  <si>
    <t>Kopaná sonda pro ověření průběhu sítí</t>
  </si>
  <si>
    <t>hl. do 2,0 m</t>
  </si>
  <si>
    <t>1   ověření hloubky topného kanálu</t>
  </si>
  <si>
    <t>Rozebrání dlažeb z betonových dlaždic na sucho</t>
  </si>
  <si>
    <t>1,5   stoka A</t>
  </si>
  <si>
    <t>1,3   stoka A.1</t>
  </si>
  <si>
    <t>1,3   stoka A.2</t>
  </si>
  <si>
    <t>3,6   stoka B</t>
  </si>
  <si>
    <t>1,2   stoka B.1</t>
  </si>
  <si>
    <t>1,5   stoka B.2</t>
  </si>
  <si>
    <t>1,1,   stoka B.3</t>
  </si>
  <si>
    <t>Odstranění podkladu pl. 50 m2,kam.drcené tl.20 cm</t>
  </si>
  <si>
    <t>12,8   </t>
  </si>
  <si>
    <t>Hloubené vykopávky</t>
  </si>
  <si>
    <t>Příplatek za ztížené hloubení v blízkosti vedení</t>
  </si>
  <si>
    <t>2*1,0*1,5*1,0   stoka A.1 - NN, Cetin</t>
  </si>
  <si>
    <t>2*0,96*1,5*1,0   stoka A.2 - NN, Cetin</t>
  </si>
  <si>
    <t>1*0,96*1,5*1,0   stoka B - NN</t>
  </si>
  <si>
    <t>1*0,96*1,5*1,0   stoka B.3 - NN</t>
  </si>
  <si>
    <t>1*0,96*1,5*1,0   stoka B.4 - NN</t>
  </si>
  <si>
    <t>1*1,0*1,5*1,0   stoka C</t>
  </si>
  <si>
    <t>1,0*1,8*3,0   křížení teplovod</t>
  </si>
  <si>
    <t>Hloubení rýh š.do 200 cm hor.3 do 1000m3,STROJNĚ</t>
  </si>
  <si>
    <t>   předpoklad 60% v hor. tř. 3</t>
  </si>
  <si>
    <t>56,6*0,6   stoka A</t>
  </si>
  <si>
    <t>15,63*0,6   stoka A.1</t>
  </si>
  <si>
    <t>9,74*0,6   stoka A.2</t>
  </si>
  <si>
    <t>2,95*0,6   vp01-A</t>
  </si>
  <si>
    <t>0,43*0,6   vp02-A</t>
  </si>
  <si>
    <t>40,84*0,6   stoka B</t>
  </si>
  <si>
    <t>4,77*0,6   stoka B.1</t>
  </si>
  <si>
    <t>6,71*0,6   stoka B.2</t>
  </si>
  <si>
    <t>2,79*0,6   stoka B.3</t>
  </si>
  <si>
    <t>2,52*0,6   stoka B.4</t>
  </si>
  <si>
    <t>0,95*0,6   vp01-B</t>
  </si>
  <si>
    <t>52,5*0,6   stoka C - výkop v zel. plochách - 31,05 m</t>
  </si>
  <si>
    <t>14,6*0,6   stoka C - výkop v komunikaci - 12,01 m</t>
  </si>
  <si>
    <t>1,3*0,6   stoka C.1</t>
  </si>
  <si>
    <t>Přípl.za lepivost,hloubení rýh 200cm,hor.3,STROJNĚ</t>
  </si>
  <si>
    <t>127,398*0,5   </t>
  </si>
  <si>
    <t>Hloubení rýh š.do 200 cm hor.4 do 100 m3, STROJNĚ</t>
  </si>
  <si>
    <t>   předpoklad 40% v hor. tř. 4</t>
  </si>
  <si>
    <t>56,6*0,4   stoka A</t>
  </si>
  <si>
    <t>15,63*0,4   stoka A.1</t>
  </si>
  <si>
    <t>9,74*0,4   stoka A.2</t>
  </si>
  <si>
    <t>2,95*0,4   vp01-A</t>
  </si>
  <si>
    <t>0,43*0,4   vp02-A</t>
  </si>
  <si>
    <t>40,84*0,4   stoka B</t>
  </si>
  <si>
    <t>4,77*0,4   stoka B.1</t>
  </si>
  <si>
    <t>6,71*0,4   stoka B.2</t>
  </si>
  <si>
    <t>2,79*0,4   stoka B.3</t>
  </si>
  <si>
    <t>2,52*0,4   stoka B.4</t>
  </si>
  <si>
    <t>0,95*0,4   vp01-B</t>
  </si>
  <si>
    <t>52,5*0,4   stoka C - výkop v zel. plochách - 31,05 m</t>
  </si>
  <si>
    <t>14,6*0,4   stoka C - výkop v komunikaci - 12,01 m</t>
  </si>
  <si>
    <t>1,3*0,4   stoka C.1</t>
  </si>
  <si>
    <t>Přípl.za lepivost,hloubení rýh 200cm,hor.4,STROJNĚ</t>
  </si>
  <si>
    <t>84,932*0,5   </t>
  </si>
  <si>
    <t>Roubení</t>
  </si>
  <si>
    <t>Pažení a rozepření stěn rýh - příložné - hl.do 2 m</t>
  </si>
  <si>
    <t>61+61+1,8   stoka A</t>
  </si>
  <si>
    <t>26+26+1,8   stoka A.1</t>
  </si>
  <si>
    <t>18+18   stoka A.2</t>
  </si>
  <si>
    <t>18   vp01-A</t>
  </si>
  <si>
    <t>60+60   stoka B</t>
  </si>
  <si>
    <t>9+9   stoka B.1</t>
  </si>
  <si>
    <t>12+12   stoka B.2</t>
  </si>
  <si>
    <t>5+5   stoka B.3</t>
  </si>
  <si>
    <t>4,5+4,5   stoka B.4</t>
  </si>
  <si>
    <t>90+90+2   stoka C</t>
  </si>
  <si>
    <t>5,2+5,2+2   stoka C.1</t>
  </si>
  <si>
    <t>6   vp01-C</t>
  </si>
  <si>
    <t>2   vp02-C</t>
  </si>
  <si>
    <t>Odstranění pažení stěn rýh - příložné - hl. do 2 m</t>
  </si>
  <si>
    <t>615   </t>
  </si>
  <si>
    <t>Přemístění výkopku</t>
  </si>
  <si>
    <t>Vodorovné přemístění výkopku z hor.1-4 do 10000 m</t>
  </si>
  <si>
    <t>127,398+84,932   odvoz veškerého materiálu z hloubení rýh</t>
  </si>
  <si>
    <t>Příplatek k vod. přemístění hor.1-4 za další 1 km</t>
  </si>
  <si>
    <t>212,33*4   odvoz na skládku do 14 km</t>
  </si>
  <si>
    <t>Konstrukce ze zemin</t>
  </si>
  <si>
    <t>Uložení sypaniny na skl.-sypanina na výšku přes 2m</t>
  </si>
  <si>
    <t>212,33   </t>
  </si>
  <si>
    <t>Zásyp jam, rýh, šachet se zhutněním</t>
  </si>
  <si>
    <t>9,77   stoka A</t>
  </si>
  <si>
    <t>6,83   stoka A.1</t>
  </si>
  <si>
    <t>3,12   stoka A.2</t>
  </si>
  <si>
    <t>14,6   stoka B</t>
  </si>
  <si>
    <t>1,90   stoka B.1</t>
  </si>
  <si>
    <t>3,50   stoka B.2</t>
  </si>
  <si>
    <t>1,37   stoka B.3</t>
  </si>
  <si>
    <t>1,69   stoka B.4</t>
  </si>
  <si>
    <t>6,56   stoka C</t>
  </si>
  <si>
    <t>1,05   stoka C.1</t>
  </si>
  <si>
    <t>Kamenivo drcené frakce  16/32 B Moravskosl. kraj</t>
  </si>
  <si>
    <t>49,32*2,0   zához výkopu v komunikaci</t>
  </si>
  <si>
    <t>;ztratné 1%; 0,9864   </t>
  </si>
  <si>
    <t>Obsyp potrubí bez prohození sypaniny</t>
  </si>
  <si>
    <t>   obsyp do výšky vrcholu potrubí</t>
  </si>
  <si>
    <t>8,42   stoka A</t>
  </si>
  <si>
    <t>2,88   stoka A.1</t>
  </si>
  <si>
    <t>1,68   stoka A.2</t>
  </si>
  <si>
    <t>0,48   vp01-A</t>
  </si>
  <si>
    <t>0,07   vp02-A</t>
  </si>
  <si>
    <t>7,35   stoka B</t>
  </si>
  <si>
    <t>0,78   stoka B.1</t>
  </si>
  <si>
    <t>0,98   stoka B.2</t>
  </si>
  <si>
    <t>0,48   stoka B.3</t>
  </si>
  <si>
    <t>0,36   stoka B.4</t>
  </si>
  <si>
    <t>0,16   vp01-B</t>
  </si>
  <si>
    <t>7,92   stoka C</t>
  </si>
  <si>
    <t>0,42   stoka C.1</t>
  </si>
  <si>
    <t>0,12   vp01-C</t>
  </si>
  <si>
    <t>0,08   vp02-C</t>
  </si>
  <si>
    <t>   zásyp 300mm nad potrubí</t>
  </si>
  <si>
    <t>12,36   stoka A</t>
  </si>
  <si>
    <t>4,96   stoka A.1</t>
  </si>
  <si>
    <t>3,48   stoka A.2</t>
  </si>
  <si>
    <t>0,99   vp01-A</t>
  </si>
  <si>
    <t>0,15   vp02-A</t>
  </si>
  <si>
    <t>11,93   stoka B</t>
  </si>
  <si>
    <t>1,61   stoka B.1</t>
  </si>
  <si>
    <t>2,02   stoka B.2</t>
  </si>
  <si>
    <t>0,99   stoka B.3</t>
  </si>
  <si>
    <t>0,75   stoka B.4</t>
  </si>
  <si>
    <t>0,32   vp01-B</t>
  </si>
  <si>
    <t>13,64   stoka C</t>
  </si>
  <si>
    <t>0,87   stoka C.1</t>
  </si>
  <si>
    <t>0,25   vp01-C</t>
  </si>
  <si>
    <t>0,16   vp02-C</t>
  </si>
  <si>
    <t>Obsyp objektu bez prohození sypaniny</t>
  </si>
  <si>
    <t>   obsyp šachet</t>
  </si>
  <si>
    <t>0,27   DN 315</t>
  </si>
  <si>
    <t>2,46   DN 600</t>
  </si>
  <si>
    <t>0,38   DN 1000</t>
  </si>
  <si>
    <t>8,01   DN 1500</t>
  </si>
  <si>
    <t>Štěrkopísek frakce 0-8 tř.B</t>
  </si>
  <si>
    <t>86,66*2,0   obsyp potrubí</t>
  </si>
  <si>
    <t>11,12*2,0   obsyp šachet</t>
  </si>
  <si>
    <t>;ztratné 1%; 1,9556   </t>
  </si>
  <si>
    <t>Povrchové úpravy terénu</t>
  </si>
  <si>
    <t>Úprava pláně v zářezech v hor. 1-4, se zhutněním</t>
  </si>
  <si>
    <t>Hloubení pro podzemní stěny, ražení a hloubení důlní</t>
  </si>
  <si>
    <t>Poplatek za skládku horniny 1- 4</t>
  </si>
  <si>
    <t>Základy</t>
  </si>
  <si>
    <t>Polštář základu z kameniva hr. drceného 16-32 mm</t>
  </si>
  <si>
    <t>   podsyp šachet</t>
  </si>
  <si>
    <t>0,05   DN 315</t>
  </si>
  <si>
    <t>0,99   DN 600</t>
  </si>
  <si>
    <t>0,13   DN 1000</t>
  </si>
  <si>
    <t>0,99   DN 1500</t>
  </si>
  <si>
    <t>Srovnávací vrstva fr 4-8, tl. 3 cm</t>
  </si>
  <si>
    <t>3*0,25   DN 315</t>
  </si>
  <si>
    <t>11*0,90   DN 600</t>
  </si>
  <si>
    <t>1*1,34   DN 1000</t>
  </si>
  <si>
    <t>1*6,62   DN 1500</t>
  </si>
  <si>
    <t>Stoky</t>
  </si>
  <si>
    <t>Vyčištění stok jakékoliv výšky</t>
  </si>
  <si>
    <t>47,57   DN160x4.7mm</t>
  </si>
  <si>
    <t>94,81   DN200x5.9mm</t>
  </si>
  <si>
    <t>22,18   DN250x7.3mm</t>
  </si>
  <si>
    <t>7,00   DN315x9.2mm</t>
  </si>
  <si>
    <t>Podkladní a vedlejší konstrukce (kromě vozovek a železničního svršku)</t>
  </si>
  <si>
    <t>Lože pod potrubí z kameniva těženého 0 - 4 mm</t>
  </si>
  <si>
    <t>kraj Moravskoslezský</t>
  </si>
  <si>
    <t>   podsyp 100mm</t>
  </si>
  <si>
    <t>4,11   stoka A</t>
  </si>
  <si>
    <t>1,60   stoka A.1</t>
  </si>
  <si>
    <t>1,20   stoka A.2</t>
  </si>
  <si>
    <t>0,34   vp01-A</t>
  </si>
  <si>
    <t>0,05   vp02-A</t>
  </si>
  <si>
    <t>3,99   stoka B</t>
  </si>
  <si>
    <t>0,56   stoka B.1</t>
  </si>
  <si>
    <t>0,70   stoka B.2</t>
  </si>
  <si>
    <t>0,34   stoka B.3</t>
  </si>
  <si>
    <t>0,26   stoka B.4</t>
  </si>
  <si>
    <t>0,11   vp01-B</t>
  </si>
  <si>
    <t>4,4   stoka C</t>
  </si>
  <si>
    <t>0,30   stoka C.1</t>
  </si>
  <si>
    <t>0,09   vp01-C</t>
  </si>
  <si>
    <t>0,06   vp02-C</t>
  </si>
  <si>
    <t>Podkladní vrstva z betonu prostého C 30/37 do 10cm</t>
  </si>
  <si>
    <t>3,0*3,0*0,1   pod betonovou šachtu Š02-A</t>
  </si>
  <si>
    <t>Kryty pozemních komunikací, letišť a ploch dlážděných (předlažby)</t>
  </si>
  <si>
    <t>Kladení dlaždic kom.pro pěší, lože z kameniva těž.</t>
  </si>
  <si>
    <t>Dlažba HOLLAND II 10x10x6 cm přírodní</t>
  </si>
  <si>
    <t>12,8*0,1   náhrada za poškozenou dlažbu</t>
  </si>
  <si>
    <t>Izolace proti vodě</t>
  </si>
  <si>
    <t>Těsnění prostupů trub D do 315 mm</t>
  </si>
  <si>
    <t>6   </t>
  </si>
  <si>
    <t>Vnitřní kanalizace</t>
  </si>
  <si>
    <t>Montáž lapače střešních splavenin DN 125</t>
  </si>
  <si>
    <t>3   </t>
  </si>
  <si>
    <t>Lapač střešních splavenin gajgr DN 125</t>
  </si>
  <si>
    <t>1   stoka A.2</t>
  </si>
  <si>
    <t>1   stoka B.2</t>
  </si>
  <si>
    <t>1   stoka B.4</t>
  </si>
  <si>
    <t>;ztratné 3%; 0,09   </t>
  </si>
  <si>
    <t>Montáž potrubí svodného, zavěšené 160x4,7x3000</t>
  </si>
  <si>
    <t>vč. montáže tvarovek, objímek</t>
  </si>
  <si>
    <t>5*3   </t>
  </si>
  <si>
    <t>Trubka kanalizační KGEM SN 8 PVC 160x4,7x3000</t>
  </si>
  <si>
    <t>5   </t>
  </si>
  <si>
    <t>Kus čisticí kanalizační KGRE DN 150 PVC</t>
  </si>
  <si>
    <t>Objímka dvoušroubová 159-168 mm  6"  M8/M10</t>
  </si>
  <si>
    <t>5*4   </t>
  </si>
  <si>
    <t>Přechod litina-PVC kanalizační KGUG DN 160 PVC</t>
  </si>
  <si>
    <t>1   Stoka B.1</t>
  </si>
  <si>
    <t>Montáž potrubí svodného, zavěšené 200x5,9x3000</t>
  </si>
  <si>
    <t>Trubka kanalizační KGEM SN 8 PVC 200x5,9x3000</t>
  </si>
  <si>
    <t>1   </t>
  </si>
  <si>
    <t>Kus čisticí kanalizační KGRE DN 200 PVC</t>
  </si>
  <si>
    <t>Objímka dvoušroubová 204-210 mm  8"  M8/M10</t>
  </si>
  <si>
    <t>1*4   </t>
  </si>
  <si>
    <t>Upravení potrubí pro spoj (očištění, zaříznutí, zabroušení)</t>
  </si>
  <si>
    <t>Potrubí z trub plastických, skleněných a čedičových</t>
  </si>
  <si>
    <t>Montáž trub z plastu, gumový kroužek, DN 150</t>
  </si>
  <si>
    <t>Trubka kanalizační KGEM SN 4 PVC 125x3,2x1000 mm</t>
  </si>
  <si>
    <t>Montáž trub z plastu, gumový kroužek, DN 200</t>
  </si>
  <si>
    <t>Trubka kanalizační KGEM SN 8 PVC 160x4,7x1000</t>
  </si>
  <si>
    <t>1   vp01-A</t>
  </si>
  <si>
    <t>1   vp02-A</t>
  </si>
  <si>
    <t>1   stoka B.3</t>
  </si>
  <si>
    <t>2   vp01-B</t>
  </si>
  <si>
    <t>1   vp01-C</t>
  </si>
  <si>
    <t>1   vp02-C</t>
  </si>
  <si>
    <t>1   stoka B</t>
  </si>
  <si>
    <t>1   stoka C.1</t>
  </si>
  <si>
    <t>Trubka kanalizační KGEM SN 8 PVC 160x4,7x5000</t>
  </si>
  <si>
    <t>Montáž trub z plastu, gumový kroužek, DN 300</t>
  </si>
  <si>
    <t>7   DN315x9.2mm</t>
  </si>
  <si>
    <t>Trubka kanalizační KGEM SN 8 PVC 200x5,9x1000</t>
  </si>
  <si>
    <t>1   stoka A.1</t>
  </si>
  <si>
    <t>1   stoka C</t>
  </si>
  <si>
    <t>Trubka kanalizační KGEM SN 8 PVC 200x5,9x5000</t>
  </si>
  <si>
    <t>4   stoka A</t>
  </si>
  <si>
    <t>3   stoka A.1</t>
  </si>
  <si>
    <t>3   stoka B</t>
  </si>
  <si>
    <t>8   stoka C</t>
  </si>
  <si>
    <t>Trubka kanalizační KGEM SN 8 PVC 250x7,3x3000</t>
  </si>
  <si>
    <t>Trubka kanalizační KGEM SN 8 PVC 250x7,3x5000</t>
  </si>
  <si>
    <t>Trubka kanalizační KGEM SN 8 PVC 315x9,2x5000</t>
  </si>
  <si>
    <t>1   stoka A</t>
  </si>
  <si>
    <t>Montáž tvarovek jednoos. plast. gum.kroužek DN 200</t>
  </si>
  <si>
    <t>12   </t>
  </si>
  <si>
    <t>Redukce kanalizační KGR 200/ 160 PVC</t>
  </si>
  <si>
    <t>;ztratné 3%; 0,03   </t>
  </si>
  <si>
    <t>Redukce kanalizační KGR 160/ 125 PVC</t>
  </si>
  <si>
    <t>;ztratné 3%; 0,12   </t>
  </si>
  <si>
    <t>Koleno kanalizační KGB 160/ 45° PVC</t>
  </si>
  <si>
    <t>2   stoka B.4</t>
  </si>
  <si>
    <t>;ztratné 3%; 0,18   </t>
  </si>
  <si>
    <t>1   Stoka B</t>
  </si>
  <si>
    <t>Ostatní konstrukce a práce na trubním vedení</t>
  </si>
  <si>
    <t>Zkouška těsnosti potrubí, DN 150 - 200</t>
  </si>
  <si>
    <t>Zkouška těsnosti potrubí, DN 250 - 350</t>
  </si>
  <si>
    <t>Kontrola kanalizace TV kamerou do 200 m</t>
  </si>
  <si>
    <t>Kontrola kanalizace TV kamerou do 500 m</t>
  </si>
  <si>
    <t>Přípl.za dalších 0,60m výšky vstupu,šachty na potr</t>
  </si>
  <si>
    <t>1   Š02-A</t>
  </si>
  <si>
    <t>Šachty z bet.C25/30XA1,dno kamen,stoky kruh.DN1500</t>
  </si>
  <si>
    <t>Šachta, D 315 mm, dl.šach.roury 2,0 m, přímá</t>
  </si>
  <si>
    <t>dno PP KG D 160 mm, poklop šedá litina 40 t</t>
  </si>
  <si>
    <t>1   Š01-B.1</t>
  </si>
  <si>
    <t>1   Š01-B.3</t>
  </si>
  <si>
    <t>1   Š01-C.1</t>
  </si>
  <si>
    <t>Silniční vpusť se sifonem, D 315 mm</t>
  </si>
  <si>
    <t>vyústění D 160 dešť. mříž,šedá litina,čtverc. 40 t</t>
  </si>
  <si>
    <t>Silniční vpusť se sifonem, D 425 mm</t>
  </si>
  <si>
    <t>vyústění D 160 dešť.mříž, šedá litina, čtverc.40 t</t>
  </si>
  <si>
    <t>1   vp01-B</t>
  </si>
  <si>
    <t>Šachta D 600 mm, dl.šach.roury 1,00 m, přímá</t>
  </si>
  <si>
    <t>dno KG D 200 mm, poklop litina 40 t</t>
  </si>
  <si>
    <t>1   Š01-A.1</t>
  </si>
  <si>
    <t>dno KG D 250 mm, poklop litina 40 t</t>
  </si>
  <si>
    <t>1   Š05-A</t>
  </si>
  <si>
    <t>Šachta D 600 mm, dl.šach.roury 1,00 m, sběrná</t>
  </si>
  <si>
    <t>1   Š03-C</t>
  </si>
  <si>
    <t>1   Š04-A</t>
  </si>
  <si>
    <t>Šachta D 600 mm, dl.šach.roury 2,00 m, přímá</t>
  </si>
  <si>
    <t>dno KG D 160 mm, poklop litina 40 t</t>
  </si>
  <si>
    <t>1   Š04-B</t>
  </si>
  <si>
    <t>Šachta D 600 mm, dl.šach.roury 2,00 m, sběrná</t>
  </si>
  <si>
    <t>1   Š01-C</t>
  </si>
  <si>
    <t>1   Š02-C</t>
  </si>
  <si>
    <t>1   Š02-B</t>
  </si>
  <si>
    <t>1   Š03-B</t>
  </si>
  <si>
    <t>1   Š03-A</t>
  </si>
  <si>
    <t>dno KG D 315 mm, poklop litina 40 t</t>
  </si>
  <si>
    <t>1   Š01-A</t>
  </si>
  <si>
    <t>Šachta, D 1000 mm, dl.šach.skruže 2,4 m, sběrná</t>
  </si>
  <si>
    <t>dno KG D 250 mm - výkyvné, poklop litina 40 t</t>
  </si>
  <si>
    <t>1   Š01-B</t>
  </si>
  <si>
    <t>Osazení poklopů litinových s rámem do 150 kg</t>
  </si>
  <si>
    <t>Poklop litinový průměr 610 mm, 40 t</t>
  </si>
  <si>
    <t>Napojení na stávající kanalizace DN 300</t>
  </si>
  <si>
    <t>Nepředvídatelné práce</t>
  </si>
  <si>
    <t>60   </t>
  </si>
  <si>
    <t>Tlakové zkoušky potrubí, proplachování a dezinfekce potrubí</t>
  </si>
  <si>
    <t>Zkouška vodotěsnosti šachet</t>
  </si>
  <si>
    <t>6   větev A</t>
  </si>
  <si>
    <t>6   vetěv B</t>
  </si>
  <si>
    <t>4   větev C</t>
  </si>
  <si>
    <t>Doplňky trubního vedení</t>
  </si>
  <si>
    <t>Krytí potrubí z plastů výstražnou fólií z PVC 34cm</t>
  </si>
  <si>
    <t>67,46   větev A</t>
  </si>
  <si>
    <t>55,7   větev B</t>
  </si>
  <si>
    <t>48,4   větev C</t>
  </si>
  <si>
    <t>Doplňující konstrukce a práce na pozemních komunikacích a zpevněných plochách</t>
  </si>
  <si>
    <t>Osazení stojat. obrub.bet. s opěrou,lože z C 20/25 - XF3</t>
  </si>
  <si>
    <t>2   stoka B.3</t>
  </si>
  <si>
    <t>Obrubník silniční betonový 150x300x1000 mm</t>
  </si>
  <si>
    <t>16   </t>
  </si>
  <si>
    <t>;ztratné 3%; 0,48   </t>
  </si>
  <si>
    <t>Prorážení otvorů a ostatní bourací práce</t>
  </si>
  <si>
    <t>Vybourání otvorů zdi betonové pl. 0,25 m2, tl.30cm</t>
  </si>
  <si>
    <t>1   pro chráničku DN 315</t>
  </si>
  <si>
    <t>5   pro chráničku DN 250</t>
  </si>
  <si>
    <t>Trubka PVC-U SN16 DN 315/1000</t>
  </si>
  <si>
    <t>Trubka PVC-U SN16 DN 250/1000</t>
  </si>
  <si>
    <t>Očištění vybour. dlaždic s výplní kamen. těženým</t>
  </si>
  <si>
    <t>Montáže potrubí</t>
  </si>
  <si>
    <t>Utěsnění chráničky manžetou DN 200</t>
  </si>
  <si>
    <t>2   Stoka A</t>
  </si>
  <si>
    <t>2   Stoka A.1</t>
  </si>
  <si>
    <t>2   Stoka B</t>
  </si>
  <si>
    <t>2   Stoka B.1</t>
  </si>
  <si>
    <t>2   Stoka B.3</t>
  </si>
  <si>
    <t>2   Stoka C.1</t>
  </si>
  <si>
    <t>Manžeta těsnicí ZW DN 200</t>
  </si>
  <si>
    <t>2   </t>
  </si>
  <si>
    <t>Manžeta těsnicí ZW DN 160</t>
  </si>
  <si>
    <t>10   </t>
  </si>
  <si>
    <t>Zemní práce při montážích</t>
  </si>
  <si>
    <t>Chránička kabelová dělená KOPOHALF, DN 110 mm</t>
  </si>
  <si>
    <t>10   odhad, rezerva</t>
  </si>
  <si>
    <t>Přesuny sutí</t>
  </si>
  <si>
    <t>Vodorovné přemístění suti na skládku do 6000 m</t>
  </si>
  <si>
    <t>5,934+4,049   </t>
  </si>
  <si>
    <t>Příplatek za dalších započatých 1000 m nad 6000 m</t>
  </si>
  <si>
    <t>(5,934+4,049)*8   odvoz do 14 km</t>
  </si>
  <si>
    <t>Nakládání nebo překládání suti a vybouraných hmot</t>
  </si>
  <si>
    <t>Uložení suti na skládku bez zhutnění</t>
  </si>
  <si>
    <t>Poplatek za skládku stavební suti</t>
  </si>
  <si>
    <t>5,632   podklad</t>
  </si>
  <si>
    <t>0,302   vybouraný materiál z prostupů</t>
  </si>
  <si>
    <t>Poplatek za skládku suti - beton do 30x30 cm</t>
  </si>
  <si>
    <t>3,888   vybourané obrubníky</t>
  </si>
  <si>
    <t>11,7*0,1*0,138   poškozená dlažba - odhad 10%</t>
  </si>
  <si>
    <t>Běžné stavební práce</t>
  </si>
  <si>
    <t>Přesun hmot, trubní vedení plastová, otevř. výkop</t>
  </si>
  <si>
    <t>879   celková plocha dlažby</t>
  </si>
  <si>
    <t>-165   odpočet plochy se skladbou ZP3</t>
  </si>
  <si>
    <t>Podkladní vrstvy komunikací, letišť a ploch</t>
  </si>
  <si>
    <t>Podklad ze štěrkopísku po zhutnění tloušťky 10 cm</t>
  </si>
  <si>
    <t>Podklad ze štěrkodrti po zhutnění tloušťky 5 cm</t>
  </si>
  <si>
    <t>štěrkodrť frakce 0-32 mm</t>
  </si>
  <si>
    <t>Podklad ze štěrkodrti po zhutnění tloušťky 15 cm</t>
  </si>
  <si>
    <t>štěrkodrť frakce 0-63 mm</t>
  </si>
  <si>
    <t>Podklad ze štěrkodrti po zhutnění tloušťky 20 cm</t>
  </si>
  <si>
    <t>Zřízení vrstvy z geotextilie skl.do 1:5, š.do 3 m</t>
  </si>
  <si>
    <t>165   SO 01.4</t>
  </si>
  <si>
    <t>Geotextilie GUTTATEX 200 g/m2 š. 200 cm PES</t>
  </si>
  <si>
    <t>165   pod skladbou ZP3</t>
  </si>
  <si>
    <t>;ztratné 10%; 16,5   </t>
  </si>
  <si>
    <t>Kladení zámkové dlažby tl. 8 cm do drtě tl. 4 cm</t>
  </si>
  <si>
    <t>287   SO 01.1</t>
  </si>
  <si>
    <t>154   SO 01.2</t>
  </si>
  <si>
    <t>219   SO 01.3</t>
  </si>
  <si>
    <t>219   SO 01.4</t>
  </si>
  <si>
    <t>Dlažba zámková GRANIT 20/20/8 II přírodní</t>
  </si>
  <si>
    <t>879   </t>
  </si>
  <si>
    <t>;ztratné 3%; 26,37   </t>
  </si>
  <si>
    <t>148   silniční</t>
  </si>
  <si>
    <t>87   nájezdový</t>
  </si>
  <si>
    <t>   SO 01.1</t>
  </si>
  <si>
    <t>17   nové obrubníky (vynucené stavbou)</t>
  </si>
  <si>
    <t>12   nové obrubníky (rekonstrukce 40%)</t>
  </si>
  <si>
    <t>   SO 01.2</t>
  </si>
  <si>
    <t>6   nové obrubníky (vynucené stavbou)</t>
  </si>
  <si>
    <t>   SO 01.3</t>
  </si>
  <si>
    <t>21   nové obrubníky (vynucené stavbou)</t>
  </si>
  <si>
    <t>11   nové obrubníky (rekonstrukce 40%)</t>
  </si>
  <si>
    <t>81   SO 01.4</t>
  </si>
  <si>
    <t>;ztratné 3%; 4,44   </t>
  </si>
  <si>
    <t>Obrubník silniční nájezdový 1000/150/150 šedý</t>
  </si>
  <si>
    <t>24   nové obrubníky 150x150 (snížené - nájezdové)</t>
  </si>
  <si>
    <t>23   nové obrubníky 150x150 (snížené - nájezdové) s přídlažbou žlabu 500mm</t>
  </si>
  <si>
    <t>   SO 01.4</t>
  </si>
  <si>
    <t>3   nové obrubníky 150x150 (snížené - nájezdové)</t>
  </si>
  <si>
    <t>37   nové obrubníky u žlabu TBZ30/20/8</t>
  </si>
  <si>
    <t>;ztratné 3%; 2,61   </t>
  </si>
  <si>
    <t>Různé dokončovací konstrukce a práce inženýrských staveb</t>
  </si>
  <si>
    <t>Osazení odvodňovacího žlabu š. do 20 cm, do lože C20/25 - XF3, tl. 10 cm</t>
  </si>
  <si>
    <t>37   </t>
  </si>
  <si>
    <t>Žlab odvodňovací TBZ  30/20/8</t>
  </si>
  <si>
    <t>37   SO 01.4</t>
  </si>
  <si>
    <t>;ztratné 3%; 1,11   </t>
  </si>
  <si>
    <t>Osazení odvodňovacího žlabu š. do 50 cm, do lože C20/25 - XF3, tl. 20 cm</t>
  </si>
  <si>
    <t>23   </t>
  </si>
  <si>
    <t>Žlab odvodňovací TBZ  50/50/13</t>
  </si>
  <si>
    <t>23   SO 01.2</t>
  </si>
  <si>
    <t>;ztratné 3%; 0,69   </t>
  </si>
  <si>
    <t>Přesun hmot, pozemní komunikace, kryt dlážděný</t>
  </si>
  <si>
    <t>Kácení stromů jehličnatých o průměru kmene 50-70cm</t>
  </si>
  <si>
    <t>1   tuje</t>
  </si>
  <si>
    <t>Odstranění pařezů pod úrovní, o průměru 50 - 70 cm</t>
  </si>
  <si>
    <t>Odstranění podkladu nad 50 m2,kam.drcené tl.60 cm</t>
  </si>
  <si>
    <t>715   demolice podložních konstrukčních vrstev zp. ploch</t>
  </si>
  <si>
    <t>Odstranění podkladu pl. nad 50 m2, beton, tl. 8 cm</t>
  </si>
  <si>
    <t>78   </t>
  </si>
  <si>
    <t>Fréz.živič krytu nad 500 m2, bez překážek, tl.8 cm</t>
  </si>
  <si>
    <t>670   tl. 75 mm</t>
  </si>
  <si>
    <t>119-38   demolice stáv. obrub</t>
  </si>
  <si>
    <t>23   demolice stávajících obrubníků rekonstrukce 40%</t>
  </si>
  <si>
    <t>Vytrhání obrubníků zahradních</t>
  </si>
  <si>
    <t>38   </t>
  </si>
  <si>
    <t>Vyčerpání, odvoz a likvidace splašků a kalu z jímek</t>
  </si>
  <si>
    <t>7,33*5,25   SO02.1</t>
  </si>
  <si>
    <t>5,18*2,15   SO02.2</t>
  </si>
  <si>
    <t>6,52*3,2   SO02.3</t>
  </si>
  <si>
    <t>3,8*1,9   SO02.4</t>
  </si>
  <si>
    <t>Odkopávky a prokopávky</t>
  </si>
  <si>
    <t>Bourání konstrukcí ze železobetonu v odkopávkách</t>
  </si>
  <si>
    <t>bagrem s kladivem</t>
  </si>
  <si>
    <t>(6,33*0,85)+(31,05*0,2)   SO 02.1</t>
  </si>
  <si>
    <t>(3,5*0,71)+(12,85*0,2)   SO 02.2</t>
  </si>
  <si>
    <t>(4,5*0,53)+(21,46*0,25)   SO 02.3</t>
  </si>
  <si>
    <t>(1,11*0,56)+(5,35*0,2)   SO 02.4</t>
  </si>
  <si>
    <t>Sejmutí ornice, pl. do 400 m2, přemístění do 50 m</t>
  </si>
  <si>
    <t>24*0,2   odstranění stávajícího travnatého povrchu nad demolovanými jímkami</t>
  </si>
  <si>
    <t>Vod.přemístění větví jehlič., D 70cm  do 5000 m</t>
  </si>
  <si>
    <t>Vod.přemístění kmenů jehlič., D 70cm  do 5000 m</t>
  </si>
  <si>
    <t>Vodorovné přemístění pařezů  D 70 cm do 5000 m</t>
  </si>
  <si>
    <t>31   dovoz ornice</t>
  </si>
  <si>
    <t>Nakládání výkopku z hor.1-4 v množství do 100 m3</t>
  </si>
  <si>
    <t>31   ornice pro zatravnění</t>
  </si>
  <si>
    <t xml:space="preserve">zasypání kaverny inertním materiálem
</t>
  </si>
  <si>
    <t>   použití podložních konstrukčních vrstev zp. ploch</t>
  </si>
  <si>
    <t>24,675*2,25   SO 02.1</t>
  </si>
  <si>
    <t>7,74*2,15   SO 02.2</t>
  </si>
  <si>
    <t>12,4*3,2   SO 02.3</t>
  </si>
  <si>
    <t>3,8*1,8   SO 02.4</t>
  </si>
  <si>
    <t>Založení trávníku parkového, rovina, dodání osiva</t>
  </si>
  <si>
    <t>179   </t>
  </si>
  <si>
    <t>Rozprostření ornice, rovina, tl. 15-20 cm,do 500m2</t>
  </si>
  <si>
    <t>137+22+20   </t>
  </si>
  <si>
    <t>Ornice pro pozemkové úpravy</t>
  </si>
  <si>
    <t>179*0,2   celková potřeba pro ohumusování</t>
  </si>
  <si>
    <t>-4,8   využítí stávající zeminy</t>
  </si>
  <si>
    <t>Ochrana stromu bedněním - zřízení</t>
  </si>
  <si>
    <t>Ochrana stromu bedněním - odstranění</t>
  </si>
  <si>
    <t>Řezání stávajícího betonového krytu tl. 10 - 15 cm</t>
  </si>
  <si>
    <t>85   diagonální zářezy perforace do hloubky odpovídající tloušťce litého bet.povrchu + 20mm</t>
  </si>
  <si>
    <t>Čištění ploch betonových konstrukcí tlakovou vodou</t>
  </si>
  <si>
    <t>2x vyčištění s odčerpáním</t>
  </si>
  <si>
    <t>4,7*5,25+(2*4,7+2*5,25)*1,97   SO 02.1</t>
  </si>
  <si>
    <t>4,35*2,15+(2*4,35+2*2,15)*1,53   SO 02.2</t>
  </si>
  <si>
    <t>5,3*3,2+(2*5,3+2*3,2)*2,09   SO 02.3</t>
  </si>
  <si>
    <t>Pi*(1,1*1,1)+2*Pi*1,1*1,45   SO 02.4</t>
  </si>
  <si>
    <t>Vrtání jádrové do ŽB d 30 mm</t>
  </si>
  <si>
    <t>(2+6+6+8)*0,25   </t>
  </si>
  <si>
    <t>464,537   </t>
  </si>
  <si>
    <t>(234,7+47,806+62,611+1,5)*8   odvoz do 14 km</t>
  </si>
  <si>
    <t>117,92*26   odvoz do 32 km</t>
  </si>
  <si>
    <t>234,7   pdokladní vrstvy</t>
  </si>
  <si>
    <t>47,806   beton z komunikace</t>
  </si>
  <si>
    <t>62,611   ŽB z jímek</t>
  </si>
  <si>
    <t>117,92   asfalt</t>
  </si>
  <si>
    <t>1,5   dřevo</t>
  </si>
  <si>
    <t>234,7   podkladní vrstvy</t>
  </si>
  <si>
    <t>471,90   celkový odtěžený materiál z podkl vrstev</t>
  </si>
  <si>
    <t>-118,60*2,0   odpočet pro zásyp jímek</t>
  </si>
  <si>
    <t>Poplatek za skládku suti - železobeton</t>
  </si>
  <si>
    <t>Poplatek za skládku suti-obal.kam.-asfalt do 30x30</t>
  </si>
  <si>
    <t>Poplatek za skládku suti - dřevo</t>
  </si>
  <si>
    <t>1,5   odhad</t>
  </si>
  <si>
    <t>47   </t>
  </si>
  <si>
    <t>130   </t>
  </si>
  <si>
    <t>Rozprostření ornice, rovina, tl. do 10 cm do 500m2</t>
  </si>
  <si>
    <t>33   </t>
  </si>
  <si>
    <t>;ztratné 3%; 3,9   </t>
  </si>
  <si>
    <t>Osazení poklopu s rámem do 100 kg</t>
  </si>
  <si>
    <t>Poklop litinový šachetní kvadratický, D400 s panty a zámkem</t>
  </si>
  <si>
    <t>43,5   silniční</t>
  </si>
  <si>
    <t>12,3   nájezdový</t>
  </si>
  <si>
    <t>1+1   přechodové</t>
  </si>
  <si>
    <t>43,5   </t>
  </si>
  <si>
    <t>;ztratné 3%; 1,305   </t>
  </si>
  <si>
    <t>12,3   </t>
  </si>
  <si>
    <t>;ztratné 3%; 0,369   </t>
  </si>
  <si>
    <t>Obrubník silniční přechodový L 1000/150/150-250</t>
  </si>
  <si>
    <t>Obrubník silniční přechodový P 1000/150/150-250</t>
  </si>
  <si>
    <t>Řezání stávajícího živičného krytu tl. 5 - 10 cm</t>
  </si>
  <si>
    <t>11   </t>
  </si>
  <si>
    <t>22,88   asfalt</t>
  </si>
  <si>
    <t>12,69   beton</t>
  </si>
  <si>
    <t>12,69*8   beton do 14 km</t>
  </si>
  <si>
    <t>22,88*26   asfalt do 32 km</t>
  </si>
  <si>
    <t>35,57   </t>
  </si>
  <si>
    <t>Všeobecné konstrukce a práce</t>
  </si>
  <si>
    <t>Geodetické práce před výstavbou</t>
  </si>
  <si>
    <t>Vytyčení inž. sítí</t>
  </si>
  <si>
    <t>Geodetické zaměření stavby</t>
  </si>
  <si>
    <t>Dokumentace skutečného provedení stavby</t>
  </si>
  <si>
    <t>Čištění komunikací znečištěných stavbou po dobu stavby</t>
  </si>
  <si>
    <t>Projekt, zřízení a údržba dopr. značení po dobu výstavby, vrácení do pův. stavu</t>
  </si>
  <si>
    <t>Statické hutnící zkoušky  - ČSN 721006</t>
  </si>
  <si>
    <t>Čerpání splaškových vod po dobu realizace</t>
  </si>
  <si>
    <t>vč. následného odčerpání po druhém a třetím čištění jímek</t>
  </si>
  <si>
    <t>Zajištění výkopu mobilním oplocením výšky 2 m po celou dobu stavby</t>
  </si>
  <si>
    <t>08.11.2021</t>
  </si>
  <si>
    <t> </t>
  </si>
  <si>
    <t>hProjekce - Libor Horák</t>
  </si>
  <si>
    <t>MJ</t>
  </si>
  <si>
    <t>m</t>
  </si>
  <si>
    <t>h</t>
  </si>
  <si>
    <t>den</t>
  </si>
  <si>
    <t>ks</t>
  </si>
  <si>
    <t>m2</t>
  </si>
  <si>
    <t>m3</t>
  </si>
  <si>
    <t>t</t>
  </si>
  <si>
    <t>kus</t>
  </si>
  <si>
    <t>kpl</t>
  </si>
  <si>
    <t>hod</t>
  </si>
  <si>
    <t>Množství</t>
  </si>
  <si>
    <t>Cena/MJ</t>
  </si>
  <si>
    <t>(Kč)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</si>
  <si>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</si>
  <si>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</si>
  <si>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</si>
  <si>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</si>
  <si>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</si>
  <si>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</si>
  <si>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</si>
  <si>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</si>
  <si>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</si>
  <si>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</si>
  <si>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13_</t>
  </si>
  <si>
    <t>15_</t>
  </si>
  <si>
    <t>16_</t>
  </si>
  <si>
    <t>17_</t>
  </si>
  <si>
    <t>18_</t>
  </si>
  <si>
    <t>19_</t>
  </si>
  <si>
    <t>27_</t>
  </si>
  <si>
    <t>35_</t>
  </si>
  <si>
    <t>45_</t>
  </si>
  <si>
    <t>59_</t>
  </si>
  <si>
    <t>711_</t>
  </si>
  <si>
    <t>721_</t>
  </si>
  <si>
    <t>87_</t>
  </si>
  <si>
    <t>89_</t>
  </si>
  <si>
    <t>892_</t>
  </si>
  <si>
    <t>899_</t>
  </si>
  <si>
    <t>91_</t>
  </si>
  <si>
    <t>97_</t>
  </si>
  <si>
    <t>M23_</t>
  </si>
  <si>
    <t>M46_</t>
  </si>
  <si>
    <t>S_</t>
  </si>
  <si>
    <t>S00_</t>
  </si>
  <si>
    <t>56_</t>
  </si>
  <si>
    <t>93_</t>
  </si>
  <si>
    <t>119_</t>
  </si>
  <si>
    <t>12_</t>
  </si>
  <si>
    <t>0_</t>
  </si>
  <si>
    <t>IO 01_1_</t>
  </si>
  <si>
    <t>IO 01_2_</t>
  </si>
  <si>
    <t>IO 01_3_</t>
  </si>
  <si>
    <t>IO 01_4_</t>
  </si>
  <si>
    <t>IO 01_5_</t>
  </si>
  <si>
    <t>IO 01_71_</t>
  </si>
  <si>
    <t>IO 01_72_</t>
  </si>
  <si>
    <t>IO 01_8_</t>
  </si>
  <si>
    <t>IO 01_9_</t>
  </si>
  <si>
    <t>SO 01_1_</t>
  </si>
  <si>
    <t>SO 01_5_</t>
  </si>
  <si>
    <t>SO 01_9_</t>
  </si>
  <si>
    <t>SO 02_1_</t>
  </si>
  <si>
    <t>SO 02_9_</t>
  </si>
  <si>
    <t>SO 03_1_</t>
  </si>
  <si>
    <t>SO 03_5_</t>
  </si>
  <si>
    <t>SO 03_8_</t>
  </si>
  <si>
    <t>SO 03_9_</t>
  </si>
  <si>
    <t>VRN_0_</t>
  </si>
  <si>
    <t>IO 01_</t>
  </si>
  <si>
    <t>SO 01_</t>
  </si>
  <si>
    <t>SO 02_</t>
  </si>
  <si>
    <t>SO 03_</t>
  </si>
  <si>
    <t>VRN_</t>
  </si>
  <si>
    <t>MAT</t>
  </si>
  <si>
    <t>WORK</t>
  </si>
  <si>
    <t>CELK</t>
  </si>
  <si>
    <t>ISWORK</t>
  </si>
  <si>
    <t>P</t>
  </si>
  <si>
    <t>M</t>
  </si>
  <si>
    <t>GROUPCODE</t>
  </si>
  <si>
    <t>Krycí list slepého rozpočtu (IO 01 - Rekonstrukce stokové sítě)</t>
  </si>
  <si>
    <t>Slepý stavební rozpočet (IO 01 - Rekonstrukce stokové sítě)</t>
  </si>
  <si>
    <t>Krycí list slepého rozpočtu (SO 01 - Rekonstrukce zpevněných ploch)</t>
  </si>
  <si>
    <t>Slepý stavební rozpočet (SO 01 - Rekonstrukce zpevněných ploch)</t>
  </si>
  <si>
    <t>Krycí list slepého rozpočtu (SO 02 - Demolice a rekultivace zeleně)</t>
  </si>
  <si>
    <t>Slepý stavební rozpočet (SO 02 - Demolice a rekultivace zeleně)</t>
  </si>
  <si>
    <t>Krycí list slepého rozpočtu (SO 03 - Rekonstrukce zpevněných ploch (SO 01.5))</t>
  </si>
  <si>
    <t>Slepý stavební rozpočet (SO 03 - Rekonstrukce zpevněných ploch (SO 01.5))</t>
  </si>
  <si>
    <t>Krycí list slepého rozpočtu (VRN - Vedlejší rozpočtové náklady)</t>
  </si>
  <si>
    <t>Slepý stavební rozpočet (VRN - Vedlejší rozpočtové náklady)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</si>
</sst>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0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10"/>
      <color indexed="58"/>
      <name val="Arial"/>
      <family val="2"/>
    </font>
    <font>
      <i/>
      <sz val="10"/>
      <color indexed="63"/>
      <name val="Arial"/>
      <family val="2"/>
    </font>
    <font>
      <i/>
      <sz val="10"/>
      <color indexed="5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3" fillId="2" borderId="2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49" fontId="6" fillId="0" borderId="7" xfId="0" applyNumberFormat="1" applyFont="1" applyFill="1" applyBorder="1" applyAlignment="1" applyProtection="1">
      <alignment horizontal="left" vertical="center"/>
      <protection/>
    </xf>
    <xf numFmtId="49" fontId="5" fillId="0" borderId="2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9" fontId="5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4" fillId="2" borderId="14" xfId="0" applyNumberFormat="1" applyFont="1" applyFill="1" applyBorder="1" applyAlignment="1" applyProtection="1">
      <alignment horizontal="righ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" fontId="9" fillId="0" borderId="5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0" fillId="3" borderId="17" xfId="0" applyNumberFormat="1" applyFont="1" applyFill="1" applyBorder="1" applyAlignment="1" applyProtection="1">
      <alignment horizontal="left" vertical="center"/>
      <protection/>
    </xf>
    <xf numFmtId="49" fontId="11" fillId="4" borderId="12" xfId="0" applyNumberFormat="1" applyFont="1" applyFill="1" applyBorder="1" applyAlignment="1" applyProtection="1">
      <alignment horizontal="left" vertical="center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0" fillId="3" borderId="12" xfId="0" applyNumberFormat="1" applyFont="1" applyFill="1" applyBorder="1" applyAlignment="1" applyProtection="1">
      <alignment horizontal="left" vertical="center"/>
      <protection/>
    </xf>
    <xf numFmtId="49" fontId="9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14" fillId="3" borderId="7" xfId="0" applyNumberFormat="1" applyFont="1" applyFill="1" applyBorder="1" applyAlignment="1" applyProtection="1">
      <alignment horizontal="left" vertical="center"/>
      <protection/>
    </xf>
    <xf numFmtId="49" fontId="15" fillId="4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4" fillId="3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right" vertical="top"/>
      <protection/>
    </xf>
    <xf numFmtId="49" fontId="10" fillId="3" borderId="7" xfId="0" applyNumberFormat="1" applyFont="1" applyFill="1" applyBorder="1" applyAlignment="1" applyProtection="1">
      <alignment horizontal="left" vertical="center"/>
      <protection/>
    </xf>
    <xf numFmtId="49" fontId="11" fillId="4" borderId="0" xfId="0" applyNumberFormat="1" applyFont="1" applyFill="1" applyBorder="1" applyAlignment="1" applyProtection="1">
      <alignment horizontal="left" vertical="center"/>
      <protection/>
    </xf>
    <xf numFmtId="49" fontId="10" fillId="3" borderId="0" xfId="0" applyNumberFormat="1" applyFont="1" applyFill="1" applyBorder="1" applyAlignment="1" applyProtection="1">
      <alignment horizontal="left" vertical="center"/>
      <protection/>
    </xf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5" fillId="4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4" fillId="3" borderId="20" xfId="0" applyNumberFormat="1" applyFont="1" applyFill="1" applyBorder="1" applyAlignment="1" applyProtection="1">
      <alignment horizontal="right" vertical="center"/>
      <protection/>
    </xf>
    <xf numFmtId="4" fontId="15" fillId="4" borderId="10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4" fontId="14" fillId="3" borderId="10" xfId="0" applyNumberFormat="1" applyFont="1" applyFill="1" applyBorder="1" applyAlignment="1" applyProtection="1">
      <alignment horizontal="right" vertical="center"/>
      <protection/>
    </xf>
    <xf numFmtId="4" fontId="15" fillId="4" borderId="0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12" fillId="0" borderId="9" xfId="0" applyNumberFormat="1" applyFont="1" applyFill="1" applyBorder="1" applyAlignment="1" applyProtection="1">
      <alignment horizontal="left" vertical="center"/>
      <protection/>
    </xf>
    <xf numFmtId="49" fontId="12" fillId="0" borderId="1" xfId="0" applyNumberFormat="1" applyFont="1" applyFill="1" applyBorder="1" applyAlignment="1" applyProtection="1">
      <alignment horizontal="left" vertical="center"/>
      <protection/>
    </xf>
    <xf numFmtId="4" fontId="12" fillId="0" borderId="1" xfId="0" applyNumberFormat="1" applyFont="1" applyFill="1" applyBorder="1" applyAlignment="1" applyProtection="1">
      <alignment horizontal="right" vertical="center"/>
      <protection/>
    </xf>
    <xf numFmtId="4" fontId="12" fillId="0" borderId="21" xfId="0" applyNumberFormat="1" applyFont="1" applyFill="1" applyBorder="1" applyAlignment="1" applyProtection="1">
      <alignment horizontal="right" vertical="center"/>
      <protection/>
    </xf>
    <xf numFmtId="166" fontId="12" fillId="0" borderId="0" xfId="0" applyNumberFormat="1" applyFont="1" applyFill="1" applyBorder="1" applyAlignment="1" applyProtection="1">
      <alignment horizontal="right" vertical="center"/>
      <protection/>
    </xf>
    <xf numFmtId="166" fontId="17" fillId="0" borderId="0" xfId="0" applyNumberFormat="1" applyFont="1" applyFill="1" applyBorder="1" applyAlignment="1" applyProtection="1">
      <alignment horizontal="right" vertical="center"/>
      <protection/>
    </xf>
    <xf numFmtId="166" fontId="17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66" fontId="13" fillId="0" borderId="0" xfId="0" applyNumberFormat="1" applyFont="1" applyFill="1" applyBorder="1" applyAlignment="1" applyProtection="1">
      <alignment horizontal="right" vertical="center"/>
      <protection/>
    </xf>
    <xf numFmtId="166" fontId="1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49" fontId="4" fillId="2" borderId="11" xfId="0" applyNumberFormat="1" applyFont="1" applyFill="1" applyBorder="1" applyAlignment="1" applyProtection="1">
      <alignment horizontal="left" vertical="center"/>
      <protection/>
    </xf>
    <xf numFmtId="0" fontId="4" fillId="2" borderId="26" xfId="0" applyNumberFormat="1" applyFont="1" applyFill="1" applyBorder="1" applyAlignment="1" applyProtection="1">
      <alignment horizontal="left" vertical="center"/>
      <protection/>
    </xf>
    <xf numFmtId="49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32" xfId="0" applyNumberFormat="1" applyFont="1" applyFill="1" applyBorder="1" applyAlignment="1" applyProtection="1">
      <alignment horizontal="left" vertical="center"/>
      <protection/>
    </xf>
    <xf numFmtId="49" fontId="8" fillId="0" borderId="1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9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14" fillId="3" borderId="7" xfId="0" applyNumberFormat="1" applyFont="1" applyFill="1" applyBorder="1" applyAlignment="1" applyProtection="1">
      <alignment horizontal="left" vertical="center"/>
      <protection/>
    </xf>
    <xf numFmtId="0" fontId="14" fillId="3" borderId="7" xfId="0" applyNumberFormat="1" applyFont="1" applyFill="1" applyBorder="1" applyAlignment="1" applyProtection="1">
      <alignment horizontal="left" vertical="center"/>
      <protection/>
    </xf>
    <xf numFmtId="49" fontId="15" fillId="4" borderId="0" xfId="0" applyNumberFormat="1" applyFont="1" applyFill="1" applyBorder="1" applyAlignment="1" applyProtection="1">
      <alignment horizontal="left" vertical="center"/>
      <protection/>
    </xf>
    <xf numFmtId="0" fontId="15" fillId="4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14" fillId="3" borderId="0" xfId="0" applyNumberFormat="1" applyFont="1" applyFill="1" applyBorder="1" applyAlignment="1" applyProtection="1">
      <alignment horizontal="left" vertical="center"/>
      <protection/>
    </xf>
    <xf numFmtId="0" fontId="14" fillId="3" borderId="0" xfId="0" applyNumberFormat="1" applyFont="1" applyFill="1" applyBorder="1" applyAlignment="1" applyProtection="1">
      <alignment horizontal="left" vertical="center"/>
      <protection/>
    </xf>
    <xf numFmtId="49" fontId="1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" xfId="0" applyNumberFormat="1" applyFont="1" applyFill="1" applyBorder="1" applyAlignment="1" applyProtection="1">
      <alignment horizontal="left" vertical="center"/>
      <protection/>
    </xf>
    <xf numFmtId="49" fontId="12" fillId="0" borderId="1" xfId="0" applyNumberFormat="1" applyFont="1" applyFill="1" applyBorder="1" applyAlignment="1" applyProtection="1">
      <alignment horizontal="left" vertical="center"/>
      <protection/>
    </xf>
    <xf numFmtId="0" fontId="12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0000"/>
      <rgbColor rgb="00000000"/>
      <rgbColor rgb="00C0C0C0"/>
      <rgbColor rgb="00C0C0C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8000"/>
      <rgbColor rgb="00000000"/>
      <rgbColor rgb="000000FF"/>
      <rgbColor rgb="0080008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024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126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228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331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512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614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716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819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921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77"/>
      <c r="B1" s="1"/>
      <c r="C1" s="80" t="s">
        <v>22</v>
      </c>
      <c r="D1" s="81"/>
      <c r="E1" s="81"/>
      <c r="F1" s="81"/>
      <c r="G1" s="81"/>
      <c r="H1" s="81"/>
      <c r="I1" s="81"/>
    </row>
    <row r="2" spans="1:10" ht="12.75">
      <c r="A2" s="82" t="s">
        <v>0</v>
      </c>
      <c r="B2" s="83"/>
      <c r="C2" s="86" t="str">
        <f>'Stavební rozpočet'!D2</f>
        <v>Rekonstrukce kanalizace a zpevněných ploch Hlavní náměstí 9-12; Krnov</v>
      </c>
      <c r="D2" s="87"/>
      <c r="E2" s="89" t="s">
        <v>32</v>
      </c>
      <c r="F2" s="89" t="str">
        <f>'Stavební rozpočet'!I2</f>
        <v> </v>
      </c>
      <c r="G2" s="83"/>
      <c r="H2" s="89" t="s">
        <v>52</v>
      </c>
      <c r="I2" s="90"/>
      <c r="J2" s="17"/>
    </row>
    <row r="3" spans="1:10" ht="25.7" customHeight="1">
      <c r="A3" s="84"/>
      <c r="B3" s="85"/>
      <c r="C3" s="88"/>
      <c r="D3" s="88"/>
      <c r="E3" s="85"/>
      <c r="F3" s="85"/>
      <c r="G3" s="85"/>
      <c r="H3" s="85"/>
      <c r="I3" s="91"/>
      <c r="J3" s="17"/>
    </row>
    <row r="4" spans="1:10" ht="12.75">
      <c r="A4" s="92" t="s">
        <v>1</v>
      </c>
      <c r="B4" s="85"/>
      <c r="C4" s="93" t="str">
        <f>'Stavební rozpočet'!D4</f>
        <v xml:space="preserve"> </v>
      </c>
      <c r="D4" s="85"/>
      <c r="E4" s="93" t="s">
        <v>33</v>
      </c>
      <c r="F4" s="93" t="str">
        <f>'Stavební rozpočet'!I4</f>
        <v>hProjekce - Libor Horák</v>
      </c>
      <c r="G4" s="85"/>
      <c r="H4" s="93" t="s">
        <v>52</v>
      </c>
      <c r="I4" s="94" t="s">
        <v>56</v>
      </c>
      <c r="J4" s="17"/>
    </row>
    <row r="5" spans="1:10" ht="12.75">
      <c r="A5" s="84"/>
      <c r="B5" s="85"/>
      <c r="C5" s="85"/>
      <c r="D5" s="85"/>
      <c r="E5" s="85"/>
      <c r="F5" s="85"/>
      <c r="G5" s="85"/>
      <c r="H5" s="85"/>
      <c r="I5" s="91"/>
      <c r="J5" s="17"/>
    </row>
    <row r="6" spans="1:10" ht="12.75">
      <c r="A6" s="92" t="s">
        <v>2</v>
      </c>
      <c r="B6" s="85"/>
      <c r="C6" s="93" t="str">
        <f>'Stavební rozpočet'!D6</f>
        <v>Krnov</v>
      </c>
      <c r="D6" s="85"/>
      <c r="E6" s="93" t="s">
        <v>34</v>
      </c>
      <c r="F6" s="93" t="str">
        <f>'Stavební rozpočet'!I6</f>
        <v> </v>
      </c>
      <c r="G6" s="85"/>
      <c r="H6" s="93" t="s">
        <v>52</v>
      </c>
      <c r="I6" s="94"/>
      <c r="J6" s="17"/>
    </row>
    <row r="7" spans="1:10" ht="12.75">
      <c r="A7" s="84"/>
      <c r="B7" s="85"/>
      <c r="C7" s="85"/>
      <c r="D7" s="85"/>
      <c r="E7" s="85"/>
      <c r="F7" s="85"/>
      <c r="G7" s="85"/>
      <c r="H7" s="85"/>
      <c r="I7" s="91"/>
      <c r="J7" s="17"/>
    </row>
    <row r="8" spans="1:10" ht="12.75">
      <c r="A8" s="92" t="s">
        <v>3</v>
      </c>
      <c r="B8" s="85"/>
      <c r="C8" s="93" t="str">
        <f>'Stavební rozpočet'!G4</f>
        <v>08.11.2021</v>
      </c>
      <c r="D8" s="85"/>
      <c r="E8" s="93" t="s">
        <v>35</v>
      </c>
      <c r="F8" s="93" t="str">
        <f>'Stavební rozpočet'!G6</f>
        <v xml:space="preserve"> </v>
      </c>
      <c r="G8" s="85"/>
      <c r="H8" s="95" t="s">
        <v>53</v>
      </c>
      <c r="I8" s="94" t="s">
        <v>57</v>
      </c>
      <c r="J8" s="17"/>
    </row>
    <row r="9" spans="1:10" ht="12.75">
      <c r="A9" s="84"/>
      <c r="B9" s="85"/>
      <c r="C9" s="85"/>
      <c r="D9" s="85"/>
      <c r="E9" s="85"/>
      <c r="F9" s="85"/>
      <c r="G9" s="85"/>
      <c r="H9" s="85"/>
      <c r="I9" s="91"/>
      <c r="J9" s="17"/>
    </row>
    <row r="10" spans="1:10" ht="12.75">
      <c r="A10" s="92" t="s">
        <v>4</v>
      </c>
      <c r="B10" s="85"/>
      <c r="C10" s="93" t="str">
        <f>'Stavební rozpočet'!D8</f>
        <v xml:space="preserve"> </v>
      </c>
      <c r="D10" s="85"/>
      <c r="E10" s="93" t="s">
        <v>36</v>
      </c>
      <c r="F10" s="93" t="str">
        <f>'Stavební rozpočet'!I8</f>
        <v> </v>
      </c>
      <c r="G10" s="85"/>
      <c r="H10" s="95" t="s">
        <v>54</v>
      </c>
      <c r="I10" s="98" t="str">
        <f>'Stavební rozpočet'!G8</f>
        <v>08.11.2021</v>
      </c>
      <c r="J10" s="17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9"/>
      <c r="J11" s="17"/>
    </row>
    <row r="12" spans="1:9" ht="23.45" customHeight="1">
      <c r="A12" s="100" t="s">
        <v>5</v>
      </c>
      <c r="B12" s="101"/>
      <c r="C12" s="101"/>
      <c r="D12" s="101"/>
      <c r="E12" s="101"/>
      <c r="F12" s="101"/>
      <c r="G12" s="101"/>
      <c r="H12" s="101"/>
      <c r="I12" s="101"/>
    </row>
    <row r="13" spans="1:10" ht="26.45" customHeight="1">
      <c r="A13" s="2" t="s">
        <v>6</v>
      </c>
      <c r="B13" s="102" t="s">
        <v>19</v>
      </c>
      <c r="C13" s="103"/>
      <c r="D13" s="2" t="s">
        <v>23</v>
      </c>
      <c r="E13" s="102" t="s">
        <v>37</v>
      </c>
      <c r="F13" s="103"/>
      <c r="G13" s="2" t="s">
        <v>38</v>
      </c>
      <c r="H13" s="102" t="s">
        <v>55</v>
      </c>
      <c r="I13" s="103"/>
      <c r="J13" s="17"/>
    </row>
    <row r="14" spans="1:10" ht="15.2" customHeight="1">
      <c r="A14" s="3" t="s">
        <v>7</v>
      </c>
      <c r="B14" s="8" t="s">
        <v>20</v>
      </c>
      <c r="C14" s="12">
        <f>SUM('Stavební rozpočet'!AB12:AB721)</f>
        <v>0</v>
      </c>
      <c r="D14" s="104" t="s">
        <v>24</v>
      </c>
      <c r="E14" s="105"/>
      <c r="F14" s="12">
        <v>0</v>
      </c>
      <c r="G14" s="104" t="s">
        <v>39</v>
      </c>
      <c r="H14" s="105"/>
      <c r="I14" s="12">
        <v>0</v>
      </c>
      <c r="J14" s="17"/>
    </row>
    <row r="15" spans="1:10" ht="15.2" customHeight="1">
      <c r="A15" s="4"/>
      <c r="B15" s="8" t="s">
        <v>21</v>
      </c>
      <c r="C15" s="12">
        <f>SUM('Stavební rozpočet'!AC12:AC721)</f>
        <v>0</v>
      </c>
      <c r="D15" s="104" t="s">
        <v>25</v>
      </c>
      <c r="E15" s="105"/>
      <c r="F15" s="12">
        <v>0</v>
      </c>
      <c r="G15" s="104" t="s">
        <v>40</v>
      </c>
      <c r="H15" s="105"/>
      <c r="I15" s="12">
        <v>0</v>
      </c>
      <c r="J15" s="17"/>
    </row>
    <row r="16" spans="1:10" ht="15.2" customHeight="1">
      <c r="A16" s="3" t="s">
        <v>8</v>
      </c>
      <c r="B16" s="8" t="s">
        <v>20</v>
      </c>
      <c r="C16" s="12">
        <f>SUM('Stavební rozpočet'!AD12:AD721)</f>
        <v>0</v>
      </c>
      <c r="D16" s="104" t="s">
        <v>26</v>
      </c>
      <c r="E16" s="105"/>
      <c r="F16" s="12">
        <v>0</v>
      </c>
      <c r="G16" s="104" t="s">
        <v>41</v>
      </c>
      <c r="H16" s="105"/>
      <c r="I16" s="12">
        <v>0</v>
      </c>
      <c r="J16" s="17"/>
    </row>
    <row r="17" spans="1:10" ht="15.2" customHeight="1">
      <c r="A17" s="4"/>
      <c r="B17" s="8" t="s">
        <v>21</v>
      </c>
      <c r="C17" s="12">
        <f>SUM('Stavební rozpočet'!AE12:AE721)</f>
        <v>0</v>
      </c>
      <c r="D17" s="104"/>
      <c r="E17" s="105"/>
      <c r="F17" s="13"/>
      <c r="G17" s="104" t="s">
        <v>42</v>
      </c>
      <c r="H17" s="105"/>
      <c r="I17" s="12">
        <v>0</v>
      </c>
      <c r="J17" s="17"/>
    </row>
    <row r="18" spans="1:10" ht="15.2" customHeight="1">
      <c r="A18" s="3" t="s">
        <v>9</v>
      </c>
      <c r="B18" s="8" t="s">
        <v>20</v>
      </c>
      <c r="C18" s="12">
        <f>SUM('Stavební rozpočet'!AF12:AF721)</f>
        <v>0</v>
      </c>
      <c r="D18" s="104"/>
      <c r="E18" s="105"/>
      <c r="F18" s="13"/>
      <c r="G18" s="104" t="s">
        <v>43</v>
      </c>
      <c r="H18" s="105"/>
      <c r="I18" s="12">
        <v>0</v>
      </c>
      <c r="J18" s="17"/>
    </row>
    <row r="19" spans="1:10" ht="15.2" customHeight="1">
      <c r="A19" s="4"/>
      <c r="B19" s="8" t="s">
        <v>21</v>
      </c>
      <c r="C19" s="12">
        <f>SUM('Stavební rozpočet'!AG12:AG721)</f>
        <v>0</v>
      </c>
      <c r="D19" s="104"/>
      <c r="E19" s="105"/>
      <c r="F19" s="13"/>
      <c r="G19" s="104" t="s">
        <v>44</v>
      </c>
      <c r="H19" s="105"/>
      <c r="I19" s="12">
        <v>0</v>
      </c>
      <c r="J19" s="17"/>
    </row>
    <row r="20" spans="1:10" ht="15.2" customHeight="1">
      <c r="A20" s="106" t="s">
        <v>10</v>
      </c>
      <c r="B20" s="107"/>
      <c r="C20" s="12">
        <f>SUM('Stavební rozpočet'!AH12:AH721)</f>
        <v>0</v>
      </c>
      <c r="D20" s="104"/>
      <c r="E20" s="105"/>
      <c r="F20" s="13"/>
      <c r="G20" s="104"/>
      <c r="H20" s="105"/>
      <c r="I20" s="13"/>
      <c r="J20" s="17"/>
    </row>
    <row r="21" spans="1:10" ht="15.2" customHeight="1">
      <c r="A21" s="106" t="s">
        <v>11</v>
      </c>
      <c r="B21" s="107"/>
      <c r="C21" s="12">
        <f>SUM('Stavební rozpočet'!Z12:Z721)</f>
        <v>0</v>
      </c>
      <c r="D21" s="104"/>
      <c r="E21" s="105"/>
      <c r="F21" s="13"/>
      <c r="G21" s="104"/>
      <c r="H21" s="105"/>
      <c r="I21" s="13"/>
      <c r="J21" s="17"/>
    </row>
    <row r="22" spans="1:10" ht="16.7" customHeight="1">
      <c r="A22" s="106" t="s">
        <v>12</v>
      </c>
      <c r="B22" s="107"/>
      <c r="C22" s="12">
        <f>ROUND(SUM(C14:C21),1)</f>
        <v>0</v>
      </c>
      <c r="D22" s="106" t="s">
        <v>27</v>
      </c>
      <c r="E22" s="107"/>
      <c r="F22" s="12">
        <f>SUM(F14:F21)</f>
        <v>0</v>
      </c>
      <c r="G22" s="106" t="s">
        <v>45</v>
      </c>
      <c r="H22" s="107"/>
      <c r="I22" s="12">
        <f>SUM(I14:I21)</f>
        <v>0</v>
      </c>
      <c r="J22" s="17"/>
    </row>
    <row r="23" spans="1:10" ht="15.2" customHeight="1">
      <c r="A23" s="5"/>
      <c r="B23" s="5"/>
      <c r="C23" s="10"/>
      <c r="D23" s="106" t="s">
        <v>28</v>
      </c>
      <c r="E23" s="107"/>
      <c r="F23" s="12">
        <f>'Krycí list rozpočtu (IO 01)'!F22+'Krycí list rozpočtu (SO 01)'!F22+'Krycí list rozpočtu (SO 02)'!F22+'Krycí list rozpočtu (SO 03)'!F22+'Krycí list rozpočtu (VRN)'!F22</f>
        <v>0</v>
      </c>
      <c r="G23" s="106" t="s">
        <v>46</v>
      </c>
      <c r="H23" s="107"/>
      <c r="I23" s="12">
        <f>'Krycí list rozpočtu (IO 01)'!I22+'Krycí list rozpočtu (SO 01)'!I22+'Krycí list rozpočtu (SO 02)'!I22+'Krycí list rozpočtu (SO 03)'!I22+'Krycí list rozpočtu (VRN)'!I22</f>
        <v>0</v>
      </c>
      <c r="J23" s="17"/>
    </row>
    <row r="24" spans="4:9" ht="15.2" customHeight="1">
      <c r="D24" s="5"/>
      <c r="E24" s="5"/>
      <c r="F24" s="10"/>
      <c r="G24" s="106" t="s">
        <v>47</v>
      </c>
      <c r="H24" s="107"/>
      <c r="I24" s="16"/>
    </row>
    <row r="25" spans="6:10" ht="15.2" customHeight="1">
      <c r="F25" s="14"/>
      <c r="G25" s="106" t="s">
        <v>48</v>
      </c>
      <c r="H25" s="107"/>
      <c r="I25" s="12">
        <f>'Krycí list rozpočtu (IO 01)'!I23+'Krycí list rozpočtu (SO 01)'!I23+'Krycí list rozpočtu (SO 02)'!I23+'Krycí list rozpočtu (SO 03)'!I23+'Krycí list rozpočtu (VRN)'!I23</f>
        <v>0</v>
      </c>
      <c r="J25" s="17"/>
    </row>
    <row r="26" spans="1:9" ht="12.75">
      <c r="A26" s="1"/>
      <c r="B26" s="1"/>
      <c r="C26" s="1"/>
      <c r="G26" s="5"/>
      <c r="H26" s="5"/>
      <c r="I26" s="5"/>
    </row>
    <row r="27" spans="1:9" ht="15.2" customHeight="1">
      <c r="A27" s="108" t="s">
        <v>13</v>
      </c>
      <c r="B27" s="109"/>
      <c r="C27" s="19">
        <f>ROUND(SUM('Stavební rozpočet'!AJ12:AJ721),1)</f>
        <v>0</v>
      </c>
      <c r="D27" s="11"/>
      <c r="E27" s="1"/>
      <c r="F27" s="1"/>
      <c r="G27" s="1"/>
      <c r="H27" s="1"/>
      <c r="I27" s="1"/>
    </row>
    <row r="28" spans="1:10" ht="15.2" customHeight="1">
      <c r="A28" s="108" t="s">
        <v>14</v>
      </c>
      <c r="B28" s="109"/>
      <c r="C28" s="19">
        <f>ROUND(SUM('Stavební rozpočet'!AK12:AK721),1)</f>
        <v>0</v>
      </c>
      <c r="D28" s="108" t="s">
        <v>29</v>
      </c>
      <c r="E28" s="109"/>
      <c r="F28" s="19">
        <f>ROUND(C28*(15/100),2)</f>
        <v>0</v>
      </c>
      <c r="G28" s="108" t="s">
        <v>49</v>
      </c>
      <c r="H28" s="109"/>
      <c r="I28" s="19">
        <f>ROUND(SUM(C27:C29),1)</f>
        <v>0</v>
      </c>
      <c r="J28" s="17"/>
    </row>
    <row r="29" spans="1:10" ht="15.2" customHeight="1">
      <c r="A29" s="108" t="s">
        <v>15</v>
      </c>
      <c r="B29" s="109"/>
      <c r="C29" s="19">
        <f>ROUND(SUM('Stavební rozpočet'!AL12:AL721)+(F22+I22+F23+I23+I24+I25),1)</f>
        <v>0</v>
      </c>
      <c r="D29" s="108" t="s">
        <v>30</v>
      </c>
      <c r="E29" s="109"/>
      <c r="F29" s="19">
        <f>ROUND(C29*(21/100),2)</f>
        <v>0</v>
      </c>
      <c r="G29" s="108" t="s">
        <v>50</v>
      </c>
      <c r="H29" s="109"/>
      <c r="I29" s="19">
        <f>ROUND(SUM(F28:F29)+I28,1)</f>
        <v>0</v>
      </c>
      <c r="J29" s="17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45" customHeight="1">
      <c r="A31" s="110" t="s">
        <v>16</v>
      </c>
      <c r="B31" s="111"/>
      <c r="C31" s="112"/>
      <c r="D31" s="110" t="s">
        <v>31</v>
      </c>
      <c r="E31" s="111"/>
      <c r="F31" s="112"/>
      <c r="G31" s="110" t="s">
        <v>51</v>
      </c>
      <c r="H31" s="111"/>
      <c r="I31" s="112"/>
      <c r="J31" s="18"/>
    </row>
    <row r="32" spans="1:10" ht="14.45" customHeight="1">
      <c r="A32" s="113"/>
      <c r="B32" s="114"/>
      <c r="C32" s="115"/>
      <c r="D32" s="113"/>
      <c r="E32" s="114"/>
      <c r="F32" s="115"/>
      <c r="G32" s="113"/>
      <c r="H32" s="114"/>
      <c r="I32" s="115"/>
      <c r="J32" s="18"/>
    </row>
    <row r="33" spans="1:10" ht="14.45" customHeight="1">
      <c r="A33" s="113"/>
      <c r="B33" s="114"/>
      <c r="C33" s="115"/>
      <c r="D33" s="113"/>
      <c r="E33" s="114"/>
      <c r="F33" s="115"/>
      <c r="G33" s="113"/>
      <c r="H33" s="114"/>
      <c r="I33" s="115"/>
      <c r="J33" s="18"/>
    </row>
    <row r="34" spans="1:10" ht="14.45" customHeight="1">
      <c r="A34" s="113"/>
      <c r="B34" s="114"/>
      <c r="C34" s="115"/>
      <c r="D34" s="113"/>
      <c r="E34" s="114"/>
      <c r="F34" s="115"/>
      <c r="G34" s="113"/>
      <c r="H34" s="114"/>
      <c r="I34" s="115"/>
      <c r="J34" s="18"/>
    </row>
    <row r="35" spans="1:10" ht="14.45" customHeight="1">
      <c r="A35" s="116" t="s">
        <v>17</v>
      </c>
      <c r="B35" s="117"/>
      <c r="C35" s="118"/>
      <c r="D35" s="116" t="s">
        <v>17</v>
      </c>
      <c r="E35" s="117"/>
      <c r="F35" s="118"/>
      <c r="G35" s="116" t="s">
        <v>17</v>
      </c>
      <c r="H35" s="117"/>
      <c r="I35" s="118"/>
      <c r="J35" s="18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93"/>
      <c r="B37" s="85"/>
      <c r="C37" s="85"/>
      <c r="D37" s="85"/>
      <c r="E37" s="85"/>
      <c r="F37" s="85"/>
      <c r="G37" s="85"/>
      <c r="H37" s="85"/>
      <c r="I37" s="85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77"/>
      <c r="B1" s="1"/>
      <c r="C1" s="80" t="s">
        <v>1055</v>
      </c>
      <c r="D1" s="81"/>
      <c r="E1" s="81"/>
      <c r="F1" s="81"/>
      <c r="G1" s="81"/>
      <c r="H1" s="81"/>
      <c r="I1" s="81"/>
    </row>
    <row r="2" spans="1:10" ht="12.75">
      <c r="A2" s="82" t="s">
        <v>0</v>
      </c>
      <c r="B2" s="83"/>
      <c r="C2" s="86" t="str">
        <f>'Stavební rozpočet'!D2</f>
        <v>Rekonstrukce kanalizace a zpevněných ploch Hlavní náměstí 9-12; Krnov</v>
      </c>
      <c r="D2" s="87"/>
      <c r="E2" s="89" t="s">
        <v>32</v>
      </c>
      <c r="F2" s="89" t="str">
        <f>'Stavební rozpočet'!I2</f>
        <v> </v>
      </c>
      <c r="G2" s="83"/>
      <c r="H2" s="89" t="s">
        <v>52</v>
      </c>
      <c r="I2" s="90"/>
      <c r="J2" s="17"/>
    </row>
    <row r="3" spans="1:10" ht="25.7" customHeight="1">
      <c r="A3" s="84"/>
      <c r="B3" s="85"/>
      <c r="C3" s="88"/>
      <c r="D3" s="88"/>
      <c r="E3" s="85"/>
      <c r="F3" s="85"/>
      <c r="G3" s="85"/>
      <c r="H3" s="85"/>
      <c r="I3" s="91"/>
      <c r="J3" s="17"/>
    </row>
    <row r="4" spans="1:10" ht="12.75">
      <c r="A4" s="92" t="s">
        <v>1</v>
      </c>
      <c r="B4" s="85"/>
      <c r="C4" s="93" t="str">
        <f>'Stavební rozpočet'!D4</f>
        <v xml:space="preserve"> </v>
      </c>
      <c r="D4" s="85"/>
      <c r="E4" s="93" t="s">
        <v>33</v>
      </c>
      <c r="F4" s="93" t="str">
        <f>'Stavební rozpočet'!I4</f>
        <v>hProjekce - Libor Horák</v>
      </c>
      <c r="G4" s="85"/>
      <c r="H4" s="93" t="s">
        <v>52</v>
      </c>
      <c r="I4" s="94" t="s">
        <v>56</v>
      </c>
      <c r="J4" s="17"/>
    </row>
    <row r="5" spans="1:10" ht="12.75">
      <c r="A5" s="84"/>
      <c r="B5" s="85"/>
      <c r="C5" s="85"/>
      <c r="D5" s="85"/>
      <c r="E5" s="85"/>
      <c r="F5" s="85"/>
      <c r="G5" s="85"/>
      <c r="H5" s="85"/>
      <c r="I5" s="91"/>
      <c r="J5" s="17"/>
    </row>
    <row r="6" spans="1:10" ht="12.75">
      <c r="A6" s="92" t="s">
        <v>2</v>
      </c>
      <c r="B6" s="85"/>
      <c r="C6" s="93" t="str">
        <f>'Stavební rozpočet'!D6</f>
        <v>Krnov</v>
      </c>
      <c r="D6" s="85"/>
      <c r="E6" s="93" t="s">
        <v>34</v>
      </c>
      <c r="F6" s="93" t="str">
        <f>'Stavební rozpočet'!I6</f>
        <v> </v>
      </c>
      <c r="G6" s="85"/>
      <c r="H6" s="93" t="s">
        <v>52</v>
      </c>
      <c r="I6" s="94"/>
      <c r="J6" s="17"/>
    </row>
    <row r="7" spans="1:10" ht="12.75">
      <c r="A7" s="84"/>
      <c r="B7" s="85"/>
      <c r="C7" s="85"/>
      <c r="D7" s="85"/>
      <c r="E7" s="85"/>
      <c r="F7" s="85"/>
      <c r="G7" s="85"/>
      <c r="H7" s="85"/>
      <c r="I7" s="91"/>
      <c r="J7" s="17"/>
    </row>
    <row r="8" spans="1:10" ht="12.75">
      <c r="A8" s="92" t="s">
        <v>3</v>
      </c>
      <c r="B8" s="85"/>
      <c r="C8" s="93" t="str">
        <f>'Stavební rozpočet'!G4</f>
        <v>08.11.2021</v>
      </c>
      <c r="D8" s="85"/>
      <c r="E8" s="93" t="s">
        <v>35</v>
      </c>
      <c r="F8" s="93" t="str">
        <f>'Stavební rozpočet'!G6</f>
        <v xml:space="preserve"> </v>
      </c>
      <c r="G8" s="85"/>
      <c r="H8" s="95" t="s">
        <v>53</v>
      </c>
      <c r="I8" s="94" t="s">
        <v>100</v>
      </c>
      <c r="J8" s="17"/>
    </row>
    <row r="9" spans="1:10" ht="12.75">
      <c r="A9" s="84"/>
      <c r="B9" s="85"/>
      <c r="C9" s="85"/>
      <c r="D9" s="85"/>
      <c r="E9" s="85"/>
      <c r="F9" s="85"/>
      <c r="G9" s="85"/>
      <c r="H9" s="85"/>
      <c r="I9" s="91"/>
      <c r="J9" s="17"/>
    </row>
    <row r="10" spans="1:10" ht="12.75">
      <c r="A10" s="92" t="s">
        <v>4</v>
      </c>
      <c r="B10" s="85"/>
      <c r="C10" s="93" t="str">
        <f>'Stavební rozpočet'!D8</f>
        <v xml:space="preserve"> </v>
      </c>
      <c r="D10" s="85"/>
      <c r="E10" s="93" t="s">
        <v>36</v>
      </c>
      <c r="F10" s="93" t="str">
        <f>'Stavební rozpočet'!I8</f>
        <v> </v>
      </c>
      <c r="G10" s="85"/>
      <c r="H10" s="95" t="s">
        <v>54</v>
      </c>
      <c r="I10" s="98" t="str">
        <f>'Stavební rozpočet'!G8</f>
        <v>08.11.2021</v>
      </c>
      <c r="J10" s="17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9"/>
      <c r="J11" s="17"/>
    </row>
    <row r="12" spans="1:9" ht="23.45" customHeight="1">
      <c r="A12" s="100" t="s">
        <v>5</v>
      </c>
      <c r="B12" s="101"/>
      <c r="C12" s="101"/>
      <c r="D12" s="101"/>
      <c r="E12" s="101"/>
      <c r="F12" s="101"/>
      <c r="G12" s="101"/>
      <c r="H12" s="101"/>
      <c r="I12" s="101"/>
    </row>
    <row r="13" spans="1:10" ht="26.45" customHeight="1">
      <c r="A13" s="2" t="s">
        <v>6</v>
      </c>
      <c r="B13" s="102" t="s">
        <v>19</v>
      </c>
      <c r="C13" s="103"/>
      <c r="D13" s="2" t="s">
        <v>23</v>
      </c>
      <c r="E13" s="102" t="s">
        <v>37</v>
      </c>
      <c r="F13" s="103"/>
      <c r="G13" s="2" t="s">
        <v>38</v>
      </c>
      <c r="H13" s="102" t="s">
        <v>55</v>
      </c>
      <c r="I13" s="103"/>
      <c r="J13" s="17"/>
    </row>
    <row r="14" spans="1:10" ht="15.2" customHeight="1">
      <c r="A14" s="3" t="s">
        <v>7</v>
      </c>
      <c r="B14" s="8" t="s">
        <v>20</v>
      </c>
      <c r="C14" s="12">
        <f>SUM('Stavební rozpočet (SO 03)'!AB12:AB721)</f>
        <v>0</v>
      </c>
      <c r="D14" s="104" t="s">
        <v>24</v>
      </c>
      <c r="E14" s="105"/>
      <c r="F14" s="12">
        <v>0</v>
      </c>
      <c r="G14" s="104" t="s">
        <v>39</v>
      </c>
      <c r="H14" s="105"/>
      <c r="I14" s="12">
        <v>0</v>
      </c>
      <c r="J14" s="17"/>
    </row>
    <row r="15" spans="1:10" ht="15.2" customHeight="1">
      <c r="A15" s="4"/>
      <c r="B15" s="8" t="s">
        <v>21</v>
      </c>
      <c r="C15" s="12">
        <f>SUM('Stavební rozpočet (SO 03)'!AC12:AC721)</f>
        <v>0</v>
      </c>
      <c r="D15" s="104" t="s">
        <v>25</v>
      </c>
      <c r="E15" s="105"/>
      <c r="F15" s="12">
        <v>0</v>
      </c>
      <c r="G15" s="104" t="s">
        <v>40</v>
      </c>
      <c r="H15" s="105"/>
      <c r="I15" s="12">
        <v>0</v>
      </c>
      <c r="J15" s="17"/>
    </row>
    <row r="16" spans="1:10" ht="15.2" customHeight="1">
      <c r="A16" s="3" t="s">
        <v>8</v>
      </c>
      <c r="B16" s="8" t="s">
        <v>20</v>
      </c>
      <c r="C16" s="12">
        <f>SUM('Stavební rozpočet (SO 03)'!AD12:AD721)</f>
        <v>0</v>
      </c>
      <c r="D16" s="104" t="s">
        <v>26</v>
      </c>
      <c r="E16" s="105"/>
      <c r="F16" s="12">
        <v>0</v>
      </c>
      <c r="G16" s="104" t="s">
        <v>41</v>
      </c>
      <c r="H16" s="105"/>
      <c r="I16" s="12">
        <v>0</v>
      </c>
      <c r="J16" s="17"/>
    </row>
    <row r="17" spans="1:10" ht="15.2" customHeight="1">
      <c r="A17" s="4"/>
      <c r="B17" s="8" t="s">
        <v>21</v>
      </c>
      <c r="C17" s="12">
        <f>SUM('Stavební rozpočet (SO 03)'!AE12:AE721)</f>
        <v>0</v>
      </c>
      <c r="D17" s="104"/>
      <c r="E17" s="105"/>
      <c r="F17" s="13"/>
      <c r="G17" s="104" t="s">
        <v>42</v>
      </c>
      <c r="H17" s="105"/>
      <c r="I17" s="12">
        <v>0</v>
      </c>
      <c r="J17" s="17"/>
    </row>
    <row r="18" spans="1:10" ht="15.2" customHeight="1">
      <c r="A18" s="3" t="s">
        <v>9</v>
      </c>
      <c r="B18" s="8" t="s">
        <v>20</v>
      </c>
      <c r="C18" s="12">
        <f>SUM('Stavební rozpočet (SO 03)'!AF12:AF721)</f>
        <v>0</v>
      </c>
      <c r="D18" s="104"/>
      <c r="E18" s="105"/>
      <c r="F18" s="13"/>
      <c r="G18" s="104" t="s">
        <v>43</v>
      </c>
      <c r="H18" s="105"/>
      <c r="I18" s="12">
        <v>0</v>
      </c>
      <c r="J18" s="17"/>
    </row>
    <row r="19" spans="1:10" ht="15.2" customHeight="1">
      <c r="A19" s="4"/>
      <c r="B19" s="8" t="s">
        <v>21</v>
      </c>
      <c r="C19" s="12">
        <f>SUM('Stavební rozpočet (SO 03)'!AG12:AG721)</f>
        <v>0</v>
      </c>
      <c r="D19" s="104"/>
      <c r="E19" s="105"/>
      <c r="F19" s="13"/>
      <c r="G19" s="104" t="s">
        <v>44</v>
      </c>
      <c r="H19" s="105"/>
      <c r="I19" s="12">
        <v>0</v>
      </c>
      <c r="J19" s="17"/>
    </row>
    <row r="20" spans="1:10" ht="15.2" customHeight="1">
      <c r="A20" s="106" t="s">
        <v>10</v>
      </c>
      <c r="B20" s="107"/>
      <c r="C20" s="12">
        <f>SUM('Stavební rozpočet (SO 03)'!AH12:AH721)</f>
        <v>0</v>
      </c>
      <c r="D20" s="104"/>
      <c r="E20" s="105"/>
      <c r="F20" s="13"/>
      <c r="G20" s="104"/>
      <c r="H20" s="105"/>
      <c r="I20" s="13"/>
      <c r="J20" s="17"/>
    </row>
    <row r="21" spans="1:10" ht="15.2" customHeight="1">
      <c r="A21" s="106" t="s">
        <v>11</v>
      </c>
      <c r="B21" s="107"/>
      <c r="C21" s="12">
        <f>SUM('Stavební rozpočet (SO 03)'!Z12:Z721)</f>
        <v>0</v>
      </c>
      <c r="D21" s="104"/>
      <c r="E21" s="105"/>
      <c r="F21" s="13"/>
      <c r="G21" s="104"/>
      <c r="H21" s="105"/>
      <c r="I21" s="13"/>
      <c r="J21" s="17"/>
    </row>
    <row r="22" spans="1:10" ht="16.7" customHeight="1">
      <c r="A22" s="106" t="s">
        <v>12</v>
      </c>
      <c r="B22" s="107"/>
      <c r="C22" s="12">
        <f>ROUND(SUM(C14:C21),1)</f>
        <v>0</v>
      </c>
      <c r="D22" s="106" t="s">
        <v>27</v>
      </c>
      <c r="E22" s="107"/>
      <c r="F22" s="12">
        <f>SUM(F14:F21)</f>
        <v>0</v>
      </c>
      <c r="G22" s="106" t="s">
        <v>45</v>
      </c>
      <c r="H22" s="107"/>
      <c r="I22" s="12">
        <f>SUM(I14:I21)</f>
        <v>0</v>
      </c>
      <c r="J22" s="17"/>
    </row>
    <row r="23" spans="1:9" ht="15.2" customHeight="1">
      <c r="A23" s="5"/>
      <c r="B23" s="5"/>
      <c r="C23" s="5"/>
      <c r="D23" s="5"/>
      <c r="E23" s="5"/>
      <c r="F23" s="10"/>
      <c r="G23" s="106" t="s">
        <v>47</v>
      </c>
      <c r="H23" s="107"/>
      <c r="I23" s="69"/>
    </row>
    <row r="24" spans="1:8" ht="12.75">
      <c r="A24" s="1"/>
      <c r="B24" s="1"/>
      <c r="C24" s="1"/>
      <c r="G24" s="5"/>
      <c r="H24" s="5"/>
    </row>
    <row r="25" spans="1:9" ht="15.2" customHeight="1">
      <c r="A25" s="108" t="s">
        <v>13</v>
      </c>
      <c r="B25" s="109"/>
      <c r="C25" s="19">
        <f>ROUND(SUM('Stavební rozpočet (SO 03)'!AJ12:AJ721),1)</f>
        <v>0</v>
      </c>
      <c r="D25" s="11"/>
      <c r="E25" s="1"/>
      <c r="F25" s="1"/>
      <c r="G25" s="1"/>
      <c r="H25" s="1"/>
      <c r="I25" s="1"/>
    </row>
    <row r="26" spans="1:10" ht="15.2" customHeight="1">
      <c r="A26" s="108" t="s">
        <v>14</v>
      </c>
      <c r="B26" s="109"/>
      <c r="C26" s="19">
        <f>ROUND(SUM('Stavební rozpočet (SO 03)'!AK12:AK721),1)</f>
        <v>0</v>
      </c>
      <c r="D26" s="108" t="s">
        <v>29</v>
      </c>
      <c r="E26" s="109"/>
      <c r="F26" s="19">
        <f>ROUND(C26*(15/100),2)</f>
        <v>0</v>
      </c>
      <c r="G26" s="108" t="s">
        <v>49</v>
      </c>
      <c r="H26" s="109"/>
      <c r="I26" s="19">
        <f>ROUND(SUM(C25:C27),1)</f>
        <v>0</v>
      </c>
      <c r="J26" s="17"/>
    </row>
    <row r="27" spans="1:10" ht="15.2" customHeight="1">
      <c r="A27" s="108" t="s">
        <v>15</v>
      </c>
      <c r="B27" s="109"/>
      <c r="C27" s="19">
        <f>ROUND(SUM('Stavební rozpočet (SO 03)'!AL12:AL721)+(F22+I22+F23+I23+I24),1)</f>
        <v>0</v>
      </c>
      <c r="D27" s="108" t="s">
        <v>30</v>
      </c>
      <c r="E27" s="109"/>
      <c r="F27" s="19">
        <f>ROUND(C27*(21/100),2)</f>
        <v>0</v>
      </c>
      <c r="G27" s="108" t="s">
        <v>50</v>
      </c>
      <c r="H27" s="109"/>
      <c r="I27" s="19">
        <f>ROUND(SUM(F26:F27)+I26,1)</f>
        <v>0</v>
      </c>
      <c r="J27" s="17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10" ht="14.45" customHeight="1">
      <c r="A29" s="110" t="s">
        <v>16</v>
      </c>
      <c r="B29" s="111"/>
      <c r="C29" s="112"/>
      <c r="D29" s="110" t="s">
        <v>31</v>
      </c>
      <c r="E29" s="111"/>
      <c r="F29" s="112"/>
      <c r="G29" s="110" t="s">
        <v>51</v>
      </c>
      <c r="H29" s="111"/>
      <c r="I29" s="112"/>
      <c r="J29" s="18"/>
    </row>
    <row r="30" spans="1:10" ht="14.45" customHeight="1">
      <c r="A30" s="113"/>
      <c r="B30" s="114"/>
      <c r="C30" s="115"/>
      <c r="D30" s="113"/>
      <c r="E30" s="114"/>
      <c r="F30" s="115"/>
      <c r="G30" s="113"/>
      <c r="H30" s="114"/>
      <c r="I30" s="115"/>
      <c r="J30" s="18"/>
    </row>
    <row r="31" spans="1:10" ht="14.45" customHeight="1">
      <c r="A31" s="113"/>
      <c r="B31" s="114"/>
      <c r="C31" s="115"/>
      <c r="D31" s="113"/>
      <c r="E31" s="114"/>
      <c r="F31" s="115"/>
      <c r="G31" s="113"/>
      <c r="H31" s="114"/>
      <c r="I31" s="115"/>
      <c r="J31" s="18"/>
    </row>
    <row r="32" spans="1:10" ht="14.45" customHeight="1">
      <c r="A32" s="113"/>
      <c r="B32" s="114"/>
      <c r="C32" s="115"/>
      <c r="D32" s="113"/>
      <c r="E32" s="114"/>
      <c r="F32" s="115"/>
      <c r="G32" s="113"/>
      <c r="H32" s="114"/>
      <c r="I32" s="115"/>
      <c r="J32" s="18"/>
    </row>
    <row r="33" spans="1:10" ht="14.45" customHeight="1">
      <c r="A33" s="116" t="s">
        <v>17</v>
      </c>
      <c r="B33" s="117"/>
      <c r="C33" s="118"/>
      <c r="D33" s="116" t="s">
        <v>17</v>
      </c>
      <c r="E33" s="117"/>
      <c r="F33" s="118"/>
      <c r="G33" s="116" t="s">
        <v>17</v>
      </c>
      <c r="H33" s="117"/>
      <c r="I33" s="118"/>
      <c r="J33" s="18"/>
    </row>
    <row r="34" spans="1:9" ht="11.25" customHeight="1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9" ht="12.75">
      <c r="A35" s="93"/>
      <c r="B35" s="85"/>
      <c r="C35" s="85"/>
      <c r="D35" s="85"/>
      <c r="E35" s="85"/>
      <c r="F35" s="85"/>
      <c r="G35" s="85"/>
      <c r="H35" s="85"/>
      <c r="I35" s="85"/>
    </row>
  </sheetData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G23:H23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0"/>
  <sheetViews>
    <sheetView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55.7109375" style="0" customWidth="1"/>
    <col min="10" max="10" width="4.28125" style="0" customWidth="1"/>
    <col min="11" max="11" width="12.8515625" style="0" customWidth="1"/>
    <col min="12" max="12" width="12.00390625" style="0" customWidth="1"/>
    <col min="13" max="13" width="14.28125" style="0" customWidth="1"/>
    <col min="25" max="64" width="12.140625" style="0" hidden="1" customWidth="1"/>
  </cols>
  <sheetData>
    <row r="1" spans="1:13" ht="72.95" customHeight="1">
      <c r="A1" s="119" t="s">
        <v>1056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12.75">
      <c r="A2" s="82" t="s">
        <v>0</v>
      </c>
      <c r="B2" s="83"/>
      <c r="C2" s="83"/>
      <c r="D2" s="86" t="str">
        <f>'Stavební rozpočet'!D2</f>
        <v>Rekonstrukce kanalizace a zpevněných ploch Hlavní náměstí 9-12; Krnov</v>
      </c>
      <c r="E2" s="133" t="s">
        <v>72</v>
      </c>
      <c r="F2" s="83"/>
      <c r="G2" s="89" t="str">
        <f>'Stavební rozpočet'!G2</f>
        <v xml:space="preserve"> </v>
      </c>
      <c r="H2" s="89" t="s">
        <v>32</v>
      </c>
      <c r="I2" s="89" t="str">
        <f>'Stavební rozpočet'!I2</f>
        <v> </v>
      </c>
      <c r="J2" s="83"/>
      <c r="K2" s="83"/>
      <c r="L2" s="83"/>
      <c r="M2" s="120"/>
      <c r="N2" s="17"/>
    </row>
    <row r="3" spans="1:14" ht="12.75">
      <c r="A3" s="84"/>
      <c r="B3" s="85"/>
      <c r="C3" s="85"/>
      <c r="D3" s="88"/>
      <c r="E3" s="85"/>
      <c r="F3" s="85"/>
      <c r="G3" s="85"/>
      <c r="H3" s="85"/>
      <c r="I3" s="85"/>
      <c r="J3" s="85"/>
      <c r="K3" s="85"/>
      <c r="L3" s="85"/>
      <c r="M3" s="91"/>
      <c r="N3" s="17"/>
    </row>
    <row r="4" spans="1:14" ht="12.75">
      <c r="A4" s="92" t="s">
        <v>1</v>
      </c>
      <c r="B4" s="85"/>
      <c r="C4" s="85"/>
      <c r="D4" s="93" t="str">
        <f>'Stavební rozpočet'!D4</f>
        <v xml:space="preserve"> </v>
      </c>
      <c r="E4" s="95" t="s">
        <v>3</v>
      </c>
      <c r="F4" s="85"/>
      <c r="G4" s="93" t="str">
        <f>'Stavební rozpočet'!G4</f>
        <v>08.11.2021</v>
      </c>
      <c r="H4" s="93" t="s">
        <v>33</v>
      </c>
      <c r="I4" s="93" t="str">
        <f>'Stavební rozpočet'!I4</f>
        <v>hProjekce - Libor Horák</v>
      </c>
      <c r="J4" s="85"/>
      <c r="K4" s="85"/>
      <c r="L4" s="85"/>
      <c r="M4" s="91"/>
      <c r="N4" s="17"/>
    </row>
    <row r="5" spans="1:14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91"/>
      <c r="N5" s="17"/>
    </row>
    <row r="6" spans="1:14" ht="12.75">
      <c r="A6" s="92" t="s">
        <v>2</v>
      </c>
      <c r="B6" s="85"/>
      <c r="C6" s="85"/>
      <c r="D6" s="93" t="str">
        <f>'Stavební rozpočet'!D6</f>
        <v>Krnov</v>
      </c>
      <c r="E6" s="95" t="s">
        <v>35</v>
      </c>
      <c r="F6" s="85"/>
      <c r="G6" s="93" t="str">
        <f>'Stavební rozpočet'!G6</f>
        <v xml:space="preserve"> </v>
      </c>
      <c r="H6" s="93" t="s">
        <v>34</v>
      </c>
      <c r="I6" s="93" t="str">
        <f>'Stavební rozpočet'!I6</f>
        <v> </v>
      </c>
      <c r="J6" s="85"/>
      <c r="K6" s="85"/>
      <c r="L6" s="85"/>
      <c r="M6" s="91"/>
      <c r="N6" s="17"/>
    </row>
    <row r="7" spans="1:14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91"/>
      <c r="N7" s="17"/>
    </row>
    <row r="8" spans="1:14" ht="12.75">
      <c r="A8" s="92" t="s">
        <v>4</v>
      </c>
      <c r="B8" s="85"/>
      <c r="C8" s="85"/>
      <c r="D8" s="93" t="str">
        <f>'Stavební rozpočet'!D8</f>
        <v xml:space="preserve"> </v>
      </c>
      <c r="E8" s="95" t="s">
        <v>73</v>
      </c>
      <c r="F8" s="85"/>
      <c r="G8" s="93" t="str">
        <f>'Stavební rozpočet'!G8</f>
        <v>08.11.2021</v>
      </c>
      <c r="H8" s="93" t="s">
        <v>36</v>
      </c>
      <c r="I8" s="93" t="str">
        <f>'Stavební rozpočet'!I8</f>
        <v> </v>
      </c>
      <c r="J8" s="85"/>
      <c r="K8" s="85"/>
      <c r="L8" s="85"/>
      <c r="M8" s="91"/>
      <c r="N8" s="17"/>
    </row>
    <row r="9" spans="1:14" ht="12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  <c r="N9" s="17"/>
    </row>
    <row r="10" spans="1:64" ht="12.75">
      <c r="A10" s="34" t="s">
        <v>79</v>
      </c>
      <c r="B10" s="41" t="s">
        <v>60</v>
      </c>
      <c r="C10" s="41" t="s">
        <v>263</v>
      </c>
      <c r="D10" s="134" t="s">
        <v>430</v>
      </c>
      <c r="E10" s="135"/>
      <c r="F10" s="135"/>
      <c r="G10" s="135"/>
      <c r="H10" s="135"/>
      <c r="I10" s="136"/>
      <c r="J10" s="41" t="s">
        <v>967</v>
      </c>
      <c r="K10" s="52" t="s">
        <v>978</v>
      </c>
      <c r="L10" s="55" t="s">
        <v>979</v>
      </c>
      <c r="M10" s="26" t="s">
        <v>75</v>
      </c>
      <c r="N10" s="18"/>
      <c r="BK10" s="58" t="s">
        <v>1045</v>
      </c>
      <c r="BL10" s="62" t="s">
        <v>1048</v>
      </c>
    </row>
    <row r="11" spans="1:62" ht="12.75">
      <c r="A11" s="35" t="s">
        <v>59</v>
      </c>
      <c r="B11" s="42" t="s">
        <v>59</v>
      </c>
      <c r="C11" s="42" t="s">
        <v>59</v>
      </c>
      <c r="D11" s="127" t="s">
        <v>431</v>
      </c>
      <c r="E11" s="128"/>
      <c r="F11" s="128"/>
      <c r="G11" s="128"/>
      <c r="H11" s="128"/>
      <c r="I11" s="129"/>
      <c r="J11" s="42" t="s">
        <v>59</v>
      </c>
      <c r="K11" s="42" t="s">
        <v>59</v>
      </c>
      <c r="L11" s="56" t="s">
        <v>980</v>
      </c>
      <c r="M11" s="27" t="s">
        <v>76</v>
      </c>
      <c r="N11" s="18"/>
      <c r="Z11" s="58" t="s">
        <v>981</v>
      </c>
      <c r="AA11" s="58" t="s">
        <v>982</v>
      </c>
      <c r="AB11" s="58" t="s">
        <v>983</v>
      </c>
      <c r="AC11" s="58" t="s">
        <v>984</v>
      </c>
      <c r="AD11" s="58" t="s">
        <v>985</v>
      </c>
      <c r="AE11" s="58" t="s">
        <v>986</v>
      </c>
      <c r="AF11" s="58" t="s">
        <v>987</v>
      </c>
      <c r="AG11" s="58" t="s">
        <v>988</v>
      </c>
      <c r="AH11" s="58" t="s">
        <v>989</v>
      </c>
      <c r="BH11" s="58" t="s">
        <v>1042</v>
      </c>
      <c r="BI11" s="58" t="s">
        <v>1043</v>
      </c>
      <c r="BJ11" s="58" t="s">
        <v>1044</v>
      </c>
    </row>
    <row r="12" spans="1:14" ht="12.75">
      <c r="A12" s="36"/>
      <c r="B12" s="43" t="s">
        <v>64</v>
      </c>
      <c r="C12" s="43"/>
      <c r="D12" s="137" t="s">
        <v>70</v>
      </c>
      <c r="E12" s="138"/>
      <c r="F12" s="138"/>
      <c r="G12" s="138"/>
      <c r="H12" s="138"/>
      <c r="I12" s="138"/>
      <c r="J12" s="49" t="s">
        <v>59</v>
      </c>
      <c r="K12" s="49" t="s">
        <v>59</v>
      </c>
      <c r="L12" s="49" t="s">
        <v>59</v>
      </c>
      <c r="M12" s="63">
        <f>M13+M18+M23+M29+M34+M53+M66</f>
        <v>0</v>
      </c>
      <c r="N12" s="17"/>
    </row>
    <row r="13" spans="1:47" ht="12.75">
      <c r="A13" s="37"/>
      <c r="B13" s="44" t="s">
        <v>64</v>
      </c>
      <c r="C13" s="44" t="s">
        <v>90</v>
      </c>
      <c r="D13" s="139" t="s">
        <v>432</v>
      </c>
      <c r="E13" s="140"/>
      <c r="F13" s="140"/>
      <c r="G13" s="140"/>
      <c r="H13" s="140"/>
      <c r="I13" s="140"/>
      <c r="J13" s="50" t="s">
        <v>59</v>
      </c>
      <c r="K13" s="50" t="s">
        <v>59</v>
      </c>
      <c r="L13" s="50" t="s">
        <v>59</v>
      </c>
      <c r="M13" s="64">
        <f>SUM(M14:M16)</f>
        <v>0</v>
      </c>
      <c r="N13" s="17"/>
      <c r="AI13" s="58" t="s">
        <v>64</v>
      </c>
      <c r="AS13" s="68">
        <f>SUM(AJ14:AJ16)</f>
        <v>0</v>
      </c>
      <c r="AT13" s="68">
        <f>SUM(AK14:AK16)</f>
        <v>0</v>
      </c>
      <c r="AU13" s="68">
        <f>SUM(AL14:AL16)</f>
        <v>0</v>
      </c>
    </row>
    <row r="14" spans="1:64" ht="12.75">
      <c r="A14" s="38" t="s">
        <v>80</v>
      </c>
      <c r="B14" s="45" t="s">
        <v>64</v>
      </c>
      <c r="C14" s="45" t="s">
        <v>264</v>
      </c>
      <c r="D14" s="141" t="s">
        <v>433</v>
      </c>
      <c r="E14" s="142"/>
      <c r="F14" s="142"/>
      <c r="G14" s="142"/>
      <c r="H14" s="142"/>
      <c r="I14" s="142"/>
      <c r="J14" s="45" t="s">
        <v>968</v>
      </c>
      <c r="K14" s="74">
        <f>'Stavební rozpočet'!K645</f>
        <v>47</v>
      </c>
      <c r="L14" s="53">
        <f>'Stavební rozpočet'!L645</f>
        <v>0</v>
      </c>
      <c r="M14" s="65">
        <f>K14*L14</f>
        <v>0</v>
      </c>
      <c r="N14" s="17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58" t="s">
        <v>64</v>
      </c>
      <c r="AJ14" s="53">
        <f>IF(AN14=0,M14,0)</f>
        <v>0</v>
      </c>
      <c r="AK14" s="53">
        <f>IF(AN14=15,M14,0)</f>
        <v>0</v>
      </c>
      <c r="AL14" s="53">
        <f>IF(AN14=21,M14,0)</f>
        <v>0</v>
      </c>
      <c r="AN14" s="33">
        <v>21</v>
      </c>
      <c r="AO14" s="33">
        <f>L14*0</f>
        <v>0</v>
      </c>
      <c r="AP14" s="33">
        <f>L14*(1-0)</f>
        <v>0</v>
      </c>
      <c r="AQ14" s="59" t="s">
        <v>80</v>
      </c>
      <c r="AV14" s="33">
        <f>AW14+AX14</f>
        <v>0</v>
      </c>
      <c r="AW14" s="33">
        <f>K14*AO14</f>
        <v>0</v>
      </c>
      <c r="AX14" s="33">
        <f>K14*AP14</f>
        <v>0</v>
      </c>
      <c r="AY14" s="61" t="s">
        <v>990</v>
      </c>
      <c r="AZ14" s="61" t="s">
        <v>1032</v>
      </c>
      <c r="BA14" s="58" t="s">
        <v>1040</v>
      </c>
      <c r="BC14" s="33">
        <f>AW14+AX14</f>
        <v>0</v>
      </c>
      <c r="BD14" s="33">
        <f>L14/(100-BE14)*100</f>
        <v>0</v>
      </c>
      <c r="BE14" s="33">
        <v>0</v>
      </c>
      <c r="BF14" s="33">
        <f>14</f>
        <v>14</v>
      </c>
      <c r="BH14" s="53">
        <f>K14*AO14</f>
        <v>0</v>
      </c>
      <c r="BI14" s="53">
        <f>K14*AP14</f>
        <v>0</v>
      </c>
      <c r="BJ14" s="53">
        <f>K14*L14</f>
        <v>0</v>
      </c>
      <c r="BK14" s="53" t="s">
        <v>1046</v>
      </c>
      <c r="BL14" s="33">
        <v>11</v>
      </c>
    </row>
    <row r="15" spans="1:14" ht="12.75">
      <c r="A15" s="17"/>
      <c r="D15" s="143" t="s">
        <v>930</v>
      </c>
      <c r="E15" s="144"/>
      <c r="F15" s="144"/>
      <c r="G15" s="144"/>
      <c r="H15" s="144"/>
      <c r="I15" s="144"/>
      <c r="K15" s="75">
        <v>47</v>
      </c>
      <c r="M15" s="14"/>
      <c r="N15" s="17"/>
    </row>
    <row r="16" spans="1:64" ht="12.75">
      <c r="A16" s="38" t="s">
        <v>81</v>
      </c>
      <c r="B16" s="45" t="s">
        <v>64</v>
      </c>
      <c r="C16" s="45" t="s">
        <v>391</v>
      </c>
      <c r="D16" s="141" t="s">
        <v>864</v>
      </c>
      <c r="E16" s="142"/>
      <c r="F16" s="142"/>
      <c r="G16" s="142"/>
      <c r="H16" s="142"/>
      <c r="I16" s="142"/>
      <c r="J16" s="45" t="s">
        <v>972</v>
      </c>
      <c r="K16" s="74">
        <f>'Stavební rozpočet'!K647</f>
        <v>130</v>
      </c>
      <c r="L16" s="53">
        <f>'Stavební rozpočet'!L647</f>
        <v>0</v>
      </c>
      <c r="M16" s="65">
        <f>K16*L16</f>
        <v>0</v>
      </c>
      <c r="N16" s="17"/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58" t="s">
        <v>64</v>
      </c>
      <c r="AJ16" s="53">
        <f>IF(AN16=0,M16,0)</f>
        <v>0</v>
      </c>
      <c r="AK16" s="53">
        <f>IF(AN16=15,M16,0)</f>
        <v>0</v>
      </c>
      <c r="AL16" s="53">
        <f>IF(AN16=21,M16,0)</f>
        <v>0</v>
      </c>
      <c r="AN16" s="33">
        <v>21</v>
      </c>
      <c r="AO16" s="33">
        <f>L16*0</f>
        <v>0</v>
      </c>
      <c r="AP16" s="33">
        <f>L16*(1-0)</f>
        <v>0</v>
      </c>
      <c r="AQ16" s="59" t="s">
        <v>80</v>
      </c>
      <c r="AV16" s="33">
        <f>AW16+AX16</f>
        <v>0</v>
      </c>
      <c r="AW16" s="33">
        <f>K16*AO16</f>
        <v>0</v>
      </c>
      <c r="AX16" s="33">
        <f>K16*AP16</f>
        <v>0</v>
      </c>
      <c r="AY16" s="61" t="s">
        <v>990</v>
      </c>
      <c r="AZ16" s="61" t="s">
        <v>1032</v>
      </c>
      <c r="BA16" s="58" t="s">
        <v>1040</v>
      </c>
      <c r="BC16" s="33">
        <f>AW16+AX16</f>
        <v>0</v>
      </c>
      <c r="BD16" s="33">
        <f>L16/(100-BE16)*100</f>
        <v>0</v>
      </c>
      <c r="BE16" s="33">
        <v>0</v>
      </c>
      <c r="BF16" s="33">
        <f>16</f>
        <v>16</v>
      </c>
      <c r="BH16" s="53">
        <f>K16*AO16</f>
        <v>0</v>
      </c>
      <c r="BI16" s="53">
        <f>K16*AP16</f>
        <v>0</v>
      </c>
      <c r="BJ16" s="53">
        <f>K16*L16</f>
        <v>0</v>
      </c>
      <c r="BK16" s="53" t="s">
        <v>1046</v>
      </c>
      <c r="BL16" s="33">
        <v>11</v>
      </c>
    </row>
    <row r="17" spans="1:14" ht="12.75">
      <c r="A17" s="17"/>
      <c r="D17" s="143" t="s">
        <v>931</v>
      </c>
      <c r="E17" s="144"/>
      <c r="F17" s="144"/>
      <c r="G17" s="144"/>
      <c r="H17" s="144"/>
      <c r="I17" s="144"/>
      <c r="K17" s="75">
        <v>130</v>
      </c>
      <c r="M17" s="14"/>
      <c r="N17" s="17"/>
    </row>
    <row r="18" spans="1:47" ht="12.75">
      <c r="A18" s="37"/>
      <c r="B18" s="44" t="s">
        <v>64</v>
      </c>
      <c r="C18" s="44" t="s">
        <v>97</v>
      </c>
      <c r="D18" s="139" t="s">
        <v>593</v>
      </c>
      <c r="E18" s="140"/>
      <c r="F18" s="140"/>
      <c r="G18" s="140"/>
      <c r="H18" s="140"/>
      <c r="I18" s="140"/>
      <c r="J18" s="50" t="s">
        <v>59</v>
      </c>
      <c r="K18" s="50" t="s">
        <v>59</v>
      </c>
      <c r="L18" s="50" t="s">
        <v>59</v>
      </c>
      <c r="M18" s="64">
        <f>SUM(M19:M21)</f>
        <v>0</v>
      </c>
      <c r="N18" s="17"/>
      <c r="AI18" s="58" t="s">
        <v>64</v>
      </c>
      <c r="AS18" s="68">
        <f>SUM(AJ19:AJ21)</f>
        <v>0</v>
      </c>
      <c r="AT18" s="68">
        <f>SUM(AK19:AK21)</f>
        <v>0</v>
      </c>
      <c r="AU18" s="68">
        <f>SUM(AL19:AL21)</f>
        <v>0</v>
      </c>
    </row>
    <row r="19" spans="1:64" ht="12.75">
      <c r="A19" s="38" t="s">
        <v>82</v>
      </c>
      <c r="B19" s="45" t="s">
        <v>64</v>
      </c>
      <c r="C19" s="45" t="s">
        <v>411</v>
      </c>
      <c r="D19" s="141" t="s">
        <v>932</v>
      </c>
      <c r="E19" s="142"/>
      <c r="F19" s="142"/>
      <c r="G19" s="142"/>
      <c r="H19" s="142"/>
      <c r="I19" s="142"/>
      <c r="J19" s="45" t="s">
        <v>972</v>
      </c>
      <c r="K19" s="74">
        <f>'Stavební rozpočet'!K650</f>
        <v>33</v>
      </c>
      <c r="L19" s="53">
        <f>'Stavební rozpočet'!L650</f>
        <v>0</v>
      </c>
      <c r="M19" s="65">
        <f>K19*L19</f>
        <v>0</v>
      </c>
      <c r="N19" s="17"/>
      <c r="Z19" s="33">
        <f>IF(AQ19="5",BJ19,0)</f>
        <v>0</v>
      </c>
      <c r="AB19" s="33">
        <f>IF(AQ19="1",BH19,0)</f>
        <v>0</v>
      </c>
      <c r="AC19" s="33">
        <f>IF(AQ19="1",BI19,0)</f>
        <v>0</v>
      </c>
      <c r="AD19" s="33">
        <f>IF(AQ19="7",BH19,0)</f>
        <v>0</v>
      </c>
      <c r="AE19" s="33">
        <f>IF(AQ19="7",BI19,0)</f>
        <v>0</v>
      </c>
      <c r="AF19" s="33">
        <f>IF(AQ19="2",BH19,0)</f>
        <v>0</v>
      </c>
      <c r="AG19" s="33">
        <f>IF(AQ19="2",BI19,0)</f>
        <v>0</v>
      </c>
      <c r="AH19" s="33">
        <f>IF(AQ19="0",BJ19,0)</f>
        <v>0</v>
      </c>
      <c r="AI19" s="58" t="s">
        <v>64</v>
      </c>
      <c r="AJ19" s="53">
        <f>IF(AN19=0,M19,0)</f>
        <v>0</v>
      </c>
      <c r="AK19" s="53">
        <f>IF(AN19=15,M19,0)</f>
        <v>0</v>
      </c>
      <c r="AL19" s="53">
        <f>IF(AN19=21,M19,0)</f>
        <v>0</v>
      </c>
      <c r="AN19" s="33">
        <v>21</v>
      </c>
      <c r="AO19" s="33">
        <f>L19*0</f>
        <v>0</v>
      </c>
      <c r="AP19" s="33">
        <f>L19*(1-0)</f>
        <v>0</v>
      </c>
      <c r="AQ19" s="59" t="s">
        <v>80</v>
      </c>
      <c r="AV19" s="33">
        <f>AW19+AX19</f>
        <v>0</v>
      </c>
      <c r="AW19" s="33">
        <f>K19*AO19</f>
        <v>0</v>
      </c>
      <c r="AX19" s="33">
        <f>K19*AP19</f>
        <v>0</v>
      </c>
      <c r="AY19" s="61" t="s">
        <v>995</v>
      </c>
      <c r="AZ19" s="61" t="s">
        <v>1032</v>
      </c>
      <c r="BA19" s="58" t="s">
        <v>1040</v>
      </c>
      <c r="BC19" s="33">
        <f>AW19+AX19</f>
        <v>0</v>
      </c>
      <c r="BD19" s="33">
        <f>L19/(100-BE19)*100</f>
        <v>0</v>
      </c>
      <c r="BE19" s="33">
        <v>0</v>
      </c>
      <c r="BF19" s="33">
        <f>19</f>
        <v>19</v>
      </c>
      <c r="BH19" s="53">
        <f>K19*AO19</f>
        <v>0</v>
      </c>
      <c r="BI19" s="53">
        <f>K19*AP19</f>
        <v>0</v>
      </c>
      <c r="BJ19" s="53">
        <f>K19*L19</f>
        <v>0</v>
      </c>
      <c r="BK19" s="53" t="s">
        <v>1046</v>
      </c>
      <c r="BL19" s="33">
        <v>18</v>
      </c>
    </row>
    <row r="20" spans="1:14" ht="12.75">
      <c r="A20" s="17"/>
      <c r="D20" s="143" t="s">
        <v>933</v>
      </c>
      <c r="E20" s="144"/>
      <c r="F20" s="144"/>
      <c r="G20" s="144"/>
      <c r="H20" s="144"/>
      <c r="I20" s="144"/>
      <c r="K20" s="75">
        <v>33</v>
      </c>
      <c r="M20" s="14"/>
      <c r="N20" s="17"/>
    </row>
    <row r="21" spans="1:64" ht="12.75">
      <c r="A21" s="38" t="s">
        <v>83</v>
      </c>
      <c r="B21" s="45" t="s">
        <v>64</v>
      </c>
      <c r="C21" s="45" t="s">
        <v>400</v>
      </c>
      <c r="D21" s="141" t="s">
        <v>896</v>
      </c>
      <c r="E21" s="142"/>
      <c r="F21" s="142"/>
      <c r="G21" s="142"/>
      <c r="H21" s="142"/>
      <c r="I21" s="142"/>
      <c r="J21" s="45" t="s">
        <v>972</v>
      </c>
      <c r="K21" s="74">
        <f>'Stavební rozpočet'!K652</f>
        <v>33</v>
      </c>
      <c r="L21" s="53">
        <f>'Stavební rozpočet'!L652</f>
        <v>0</v>
      </c>
      <c r="M21" s="65">
        <f>K21*L21</f>
        <v>0</v>
      </c>
      <c r="N21" s="17"/>
      <c r="Z21" s="33">
        <f>IF(AQ21="5",BJ21,0)</f>
        <v>0</v>
      </c>
      <c r="AB21" s="33">
        <f>IF(AQ21="1",BH21,0)</f>
        <v>0</v>
      </c>
      <c r="AC21" s="33">
        <f>IF(AQ21="1",BI21,0)</f>
        <v>0</v>
      </c>
      <c r="AD21" s="33">
        <f>IF(AQ21="7",BH21,0)</f>
        <v>0</v>
      </c>
      <c r="AE21" s="33">
        <f>IF(AQ21="7",BI21,0)</f>
        <v>0</v>
      </c>
      <c r="AF21" s="33">
        <f>IF(AQ21="2",BH21,0)</f>
        <v>0</v>
      </c>
      <c r="AG21" s="33">
        <f>IF(AQ21="2",BI21,0)</f>
        <v>0</v>
      </c>
      <c r="AH21" s="33">
        <f>IF(AQ21="0",BJ21,0)</f>
        <v>0</v>
      </c>
      <c r="AI21" s="58" t="s">
        <v>64</v>
      </c>
      <c r="AJ21" s="53">
        <f>IF(AN21=0,M21,0)</f>
        <v>0</v>
      </c>
      <c r="AK21" s="53">
        <f>IF(AN21=15,M21,0)</f>
        <v>0</v>
      </c>
      <c r="AL21" s="53">
        <f>IF(AN21=21,M21,0)</f>
        <v>0</v>
      </c>
      <c r="AN21" s="33">
        <v>21</v>
      </c>
      <c r="AO21" s="33">
        <f>L21*0.187545787545788</f>
        <v>0</v>
      </c>
      <c r="AP21" s="33">
        <f>L21*(1-0.187545787545788)</f>
        <v>0</v>
      </c>
      <c r="AQ21" s="59" t="s">
        <v>80</v>
      </c>
      <c r="AV21" s="33">
        <f>AW21+AX21</f>
        <v>0</v>
      </c>
      <c r="AW21" s="33">
        <f>K21*AO21</f>
        <v>0</v>
      </c>
      <c r="AX21" s="33">
        <f>K21*AP21</f>
        <v>0</v>
      </c>
      <c r="AY21" s="61" t="s">
        <v>995</v>
      </c>
      <c r="AZ21" s="61" t="s">
        <v>1032</v>
      </c>
      <c r="BA21" s="58" t="s">
        <v>1040</v>
      </c>
      <c r="BC21" s="33">
        <f>AW21+AX21</f>
        <v>0</v>
      </c>
      <c r="BD21" s="33">
        <f>L21/(100-BE21)*100</f>
        <v>0</v>
      </c>
      <c r="BE21" s="33">
        <v>0</v>
      </c>
      <c r="BF21" s="33">
        <f>21</f>
        <v>21</v>
      </c>
      <c r="BH21" s="53">
        <f>K21*AO21</f>
        <v>0</v>
      </c>
      <c r="BI21" s="53">
        <f>K21*AP21</f>
        <v>0</v>
      </c>
      <c r="BJ21" s="53">
        <f>K21*L21</f>
        <v>0</v>
      </c>
      <c r="BK21" s="53" t="s">
        <v>1046</v>
      </c>
      <c r="BL21" s="33">
        <v>18</v>
      </c>
    </row>
    <row r="22" spans="1:14" ht="12.75">
      <c r="A22" s="17"/>
      <c r="D22" s="143" t="s">
        <v>933</v>
      </c>
      <c r="E22" s="144"/>
      <c r="F22" s="144"/>
      <c r="G22" s="144"/>
      <c r="H22" s="144"/>
      <c r="I22" s="144"/>
      <c r="K22" s="75">
        <v>33</v>
      </c>
      <c r="M22" s="14"/>
      <c r="N22" s="17"/>
    </row>
    <row r="23" spans="1:47" ht="12.75">
      <c r="A23" s="37"/>
      <c r="B23" s="44" t="s">
        <v>64</v>
      </c>
      <c r="C23" s="44" t="s">
        <v>138</v>
      </c>
      <c r="D23" s="139" t="s">
        <v>636</v>
      </c>
      <c r="E23" s="140"/>
      <c r="F23" s="140"/>
      <c r="G23" s="140"/>
      <c r="H23" s="140"/>
      <c r="I23" s="140"/>
      <c r="J23" s="50" t="s">
        <v>59</v>
      </c>
      <c r="K23" s="50" t="s">
        <v>59</v>
      </c>
      <c r="L23" s="50" t="s">
        <v>59</v>
      </c>
      <c r="M23" s="64">
        <f>SUM(M24:M26)</f>
        <v>0</v>
      </c>
      <c r="N23" s="17"/>
      <c r="AI23" s="58" t="s">
        <v>64</v>
      </c>
      <c r="AS23" s="68">
        <f>SUM(AJ24:AJ26)</f>
        <v>0</v>
      </c>
      <c r="AT23" s="68">
        <f>SUM(AK24:AK26)</f>
        <v>0</v>
      </c>
      <c r="AU23" s="68">
        <f>SUM(AL24:AL26)</f>
        <v>0</v>
      </c>
    </row>
    <row r="24" spans="1:64" ht="12.75">
      <c r="A24" s="38" t="s">
        <v>84</v>
      </c>
      <c r="B24" s="45" t="s">
        <v>64</v>
      </c>
      <c r="C24" s="45" t="s">
        <v>379</v>
      </c>
      <c r="D24" s="141" t="s">
        <v>818</v>
      </c>
      <c r="E24" s="142"/>
      <c r="F24" s="142"/>
      <c r="G24" s="142"/>
      <c r="H24" s="142"/>
      <c r="I24" s="142"/>
      <c r="J24" s="45" t="s">
        <v>972</v>
      </c>
      <c r="K24" s="74">
        <f>'Stavební rozpočet'!K655</f>
        <v>130</v>
      </c>
      <c r="L24" s="53">
        <f>'Stavební rozpočet'!L655</f>
        <v>0</v>
      </c>
      <c r="M24" s="65">
        <f>K24*L24</f>
        <v>0</v>
      </c>
      <c r="N24" s="17"/>
      <c r="Z24" s="33">
        <f>IF(AQ24="5",BJ24,0)</f>
        <v>0</v>
      </c>
      <c r="AB24" s="33">
        <f>IF(AQ24="1",BH24,0)</f>
        <v>0</v>
      </c>
      <c r="AC24" s="33">
        <f>IF(AQ24="1",BI24,0)</f>
        <v>0</v>
      </c>
      <c r="AD24" s="33">
        <f>IF(AQ24="7",BH24,0)</f>
        <v>0</v>
      </c>
      <c r="AE24" s="33">
        <f>IF(AQ24="7",BI24,0)</f>
        <v>0</v>
      </c>
      <c r="AF24" s="33">
        <f>IF(AQ24="2",BH24,0)</f>
        <v>0</v>
      </c>
      <c r="AG24" s="33">
        <f>IF(AQ24="2",BI24,0)</f>
        <v>0</v>
      </c>
      <c r="AH24" s="33">
        <f>IF(AQ24="0",BJ24,0)</f>
        <v>0</v>
      </c>
      <c r="AI24" s="58" t="s">
        <v>64</v>
      </c>
      <c r="AJ24" s="53">
        <f>IF(AN24=0,M24,0)</f>
        <v>0</v>
      </c>
      <c r="AK24" s="53">
        <f>IF(AN24=15,M24,0)</f>
        <v>0</v>
      </c>
      <c r="AL24" s="53">
        <f>IF(AN24=21,M24,0)</f>
        <v>0</v>
      </c>
      <c r="AN24" s="33">
        <v>21</v>
      </c>
      <c r="AO24" s="33">
        <f>L24*0.148384754990926</f>
        <v>0</v>
      </c>
      <c r="AP24" s="33">
        <f>L24*(1-0.148384754990926)</f>
        <v>0</v>
      </c>
      <c r="AQ24" s="59" t="s">
        <v>80</v>
      </c>
      <c r="AV24" s="33">
        <f>AW24+AX24</f>
        <v>0</v>
      </c>
      <c r="AW24" s="33">
        <f>K24*AO24</f>
        <v>0</v>
      </c>
      <c r="AX24" s="33">
        <f>K24*AP24</f>
        <v>0</v>
      </c>
      <c r="AY24" s="61" t="s">
        <v>1000</v>
      </c>
      <c r="AZ24" s="61" t="s">
        <v>1033</v>
      </c>
      <c r="BA24" s="58" t="s">
        <v>1040</v>
      </c>
      <c r="BC24" s="33">
        <f>AW24+AX24</f>
        <v>0</v>
      </c>
      <c r="BD24" s="33">
        <f>L24/(100-BE24)*100</f>
        <v>0</v>
      </c>
      <c r="BE24" s="33">
        <v>0</v>
      </c>
      <c r="BF24" s="33">
        <f>24</f>
        <v>24</v>
      </c>
      <c r="BH24" s="53">
        <f>K24*AO24</f>
        <v>0</v>
      </c>
      <c r="BI24" s="53">
        <f>K24*AP24</f>
        <v>0</v>
      </c>
      <c r="BJ24" s="53">
        <f>K24*L24</f>
        <v>0</v>
      </c>
      <c r="BK24" s="53" t="s">
        <v>1046</v>
      </c>
      <c r="BL24" s="33">
        <v>59</v>
      </c>
    </row>
    <row r="25" spans="1:14" ht="12.75">
      <c r="A25" s="17"/>
      <c r="D25" s="143" t="s">
        <v>931</v>
      </c>
      <c r="E25" s="144"/>
      <c r="F25" s="144"/>
      <c r="G25" s="144"/>
      <c r="H25" s="144"/>
      <c r="I25" s="144"/>
      <c r="K25" s="75">
        <v>130</v>
      </c>
      <c r="M25" s="14"/>
      <c r="N25" s="17"/>
    </row>
    <row r="26" spans="1:64" ht="12.75">
      <c r="A26" s="39" t="s">
        <v>85</v>
      </c>
      <c r="B26" s="46" t="s">
        <v>64</v>
      </c>
      <c r="C26" s="46" t="s">
        <v>380</v>
      </c>
      <c r="D26" s="148" t="s">
        <v>823</v>
      </c>
      <c r="E26" s="149"/>
      <c r="F26" s="149"/>
      <c r="G26" s="149"/>
      <c r="H26" s="149"/>
      <c r="I26" s="149"/>
      <c r="J26" s="46" t="s">
        <v>972</v>
      </c>
      <c r="K26" s="78">
        <f>'Stavební rozpočet'!K657</f>
        <v>133.9</v>
      </c>
      <c r="L26" s="54">
        <f>'Stavební rozpočet'!L657</f>
        <v>0</v>
      </c>
      <c r="M26" s="66">
        <f>K26*L26</f>
        <v>0</v>
      </c>
      <c r="N26" s="17"/>
      <c r="Z26" s="33">
        <f>IF(AQ26="5",BJ26,0)</f>
        <v>0</v>
      </c>
      <c r="AB26" s="33">
        <f>IF(AQ26="1",BH26,0)</f>
        <v>0</v>
      </c>
      <c r="AC26" s="33">
        <f>IF(AQ26="1",BI26,0)</f>
        <v>0</v>
      </c>
      <c r="AD26" s="33">
        <f>IF(AQ26="7",BH26,0)</f>
        <v>0</v>
      </c>
      <c r="AE26" s="33">
        <f>IF(AQ26="7",BI26,0)</f>
        <v>0</v>
      </c>
      <c r="AF26" s="33">
        <f>IF(AQ26="2",BH26,0)</f>
        <v>0</v>
      </c>
      <c r="AG26" s="33">
        <f>IF(AQ26="2",BI26,0)</f>
        <v>0</v>
      </c>
      <c r="AH26" s="33">
        <f>IF(AQ26="0",BJ26,0)</f>
        <v>0</v>
      </c>
      <c r="AI26" s="58" t="s">
        <v>64</v>
      </c>
      <c r="AJ26" s="54">
        <f>IF(AN26=0,M26,0)</f>
        <v>0</v>
      </c>
      <c r="AK26" s="54">
        <f>IF(AN26=15,M26,0)</f>
        <v>0</v>
      </c>
      <c r="AL26" s="54">
        <f>IF(AN26=21,M26,0)</f>
        <v>0</v>
      </c>
      <c r="AN26" s="33">
        <v>21</v>
      </c>
      <c r="AO26" s="33">
        <f>L26*1</f>
        <v>0</v>
      </c>
      <c r="AP26" s="33">
        <f>L26*(1-1)</f>
        <v>0</v>
      </c>
      <c r="AQ26" s="60" t="s">
        <v>80</v>
      </c>
      <c r="AV26" s="33">
        <f>AW26+AX26</f>
        <v>0</v>
      </c>
      <c r="AW26" s="33">
        <f>K26*AO26</f>
        <v>0</v>
      </c>
      <c r="AX26" s="33">
        <f>K26*AP26</f>
        <v>0</v>
      </c>
      <c r="AY26" s="61" t="s">
        <v>1000</v>
      </c>
      <c r="AZ26" s="61" t="s">
        <v>1033</v>
      </c>
      <c r="BA26" s="58" t="s">
        <v>1040</v>
      </c>
      <c r="BC26" s="33">
        <f>AW26+AX26</f>
        <v>0</v>
      </c>
      <c r="BD26" s="33">
        <f>L26/(100-BE26)*100</f>
        <v>0</v>
      </c>
      <c r="BE26" s="33">
        <v>0</v>
      </c>
      <c r="BF26" s="33">
        <f>26</f>
        <v>26</v>
      </c>
      <c r="BH26" s="54">
        <f>K26*AO26</f>
        <v>0</v>
      </c>
      <c r="BI26" s="54">
        <f>K26*AP26</f>
        <v>0</v>
      </c>
      <c r="BJ26" s="54">
        <f>K26*L26</f>
        <v>0</v>
      </c>
      <c r="BK26" s="54" t="s">
        <v>1047</v>
      </c>
      <c r="BL26" s="33">
        <v>59</v>
      </c>
    </row>
    <row r="27" spans="1:14" ht="12.75">
      <c r="A27" s="17"/>
      <c r="D27" s="143" t="s">
        <v>931</v>
      </c>
      <c r="E27" s="144"/>
      <c r="F27" s="144"/>
      <c r="G27" s="144"/>
      <c r="H27" s="144"/>
      <c r="I27" s="144"/>
      <c r="K27" s="75">
        <v>130</v>
      </c>
      <c r="M27" s="14"/>
      <c r="N27" s="17"/>
    </row>
    <row r="28" spans="1:14" ht="12.75">
      <c r="A28" s="17"/>
      <c r="D28" s="143" t="s">
        <v>934</v>
      </c>
      <c r="E28" s="144"/>
      <c r="F28" s="144"/>
      <c r="G28" s="144"/>
      <c r="H28" s="144"/>
      <c r="I28" s="144"/>
      <c r="K28" s="75">
        <v>3.9</v>
      </c>
      <c r="M28" s="14"/>
      <c r="N28" s="17"/>
    </row>
    <row r="29" spans="1:47" ht="12.75">
      <c r="A29" s="37"/>
      <c r="B29" s="44" t="s">
        <v>64</v>
      </c>
      <c r="C29" s="44" t="s">
        <v>168</v>
      </c>
      <c r="D29" s="139" t="s">
        <v>706</v>
      </c>
      <c r="E29" s="140"/>
      <c r="F29" s="140"/>
      <c r="G29" s="140"/>
      <c r="H29" s="140"/>
      <c r="I29" s="140"/>
      <c r="J29" s="50" t="s">
        <v>59</v>
      </c>
      <c r="K29" s="50" t="s">
        <v>59</v>
      </c>
      <c r="L29" s="50" t="s">
        <v>59</v>
      </c>
      <c r="M29" s="64">
        <f>SUM(M30:M32)</f>
        <v>0</v>
      </c>
      <c r="N29" s="17"/>
      <c r="AI29" s="58" t="s">
        <v>64</v>
      </c>
      <c r="AS29" s="68">
        <f>SUM(AJ30:AJ32)</f>
        <v>0</v>
      </c>
      <c r="AT29" s="68">
        <f>SUM(AK30:AK32)</f>
        <v>0</v>
      </c>
      <c r="AU29" s="68">
        <f>SUM(AL30:AL32)</f>
        <v>0</v>
      </c>
    </row>
    <row r="30" spans="1:64" ht="12.75">
      <c r="A30" s="38" t="s">
        <v>86</v>
      </c>
      <c r="B30" s="45" t="s">
        <v>64</v>
      </c>
      <c r="C30" s="45" t="s">
        <v>412</v>
      </c>
      <c r="D30" s="141" t="s">
        <v>935</v>
      </c>
      <c r="E30" s="142"/>
      <c r="F30" s="142"/>
      <c r="G30" s="142"/>
      <c r="H30" s="142"/>
      <c r="I30" s="142"/>
      <c r="J30" s="45" t="s">
        <v>975</v>
      </c>
      <c r="K30" s="74">
        <f>'Stavební rozpočet'!K661</f>
        <v>2</v>
      </c>
      <c r="L30" s="53">
        <f>'Stavební rozpočet'!L661</f>
        <v>0</v>
      </c>
      <c r="M30" s="65">
        <f>K30*L30</f>
        <v>0</v>
      </c>
      <c r="N30" s="17"/>
      <c r="Z30" s="33">
        <f>IF(AQ30="5",BJ30,0)</f>
        <v>0</v>
      </c>
      <c r="AB30" s="33">
        <f>IF(AQ30="1",BH30,0)</f>
        <v>0</v>
      </c>
      <c r="AC30" s="33">
        <f>IF(AQ30="1",BI30,0)</f>
        <v>0</v>
      </c>
      <c r="AD30" s="33">
        <f>IF(AQ30="7",BH30,0)</f>
        <v>0</v>
      </c>
      <c r="AE30" s="33">
        <f>IF(AQ30="7",BI30,0)</f>
        <v>0</v>
      </c>
      <c r="AF30" s="33">
        <f>IF(AQ30="2",BH30,0)</f>
        <v>0</v>
      </c>
      <c r="AG30" s="33">
        <f>IF(AQ30="2",BI30,0)</f>
        <v>0</v>
      </c>
      <c r="AH30" s="33">
        <f>IF(AQ30="0",BJ30,0)</f>
        <v>0</v>
      </c>
      <c r="AI30" s="58" t="s">
        <v>64</v>
      </c>
      <c r="AJ30" s="53">
        <f>IF(AN30=0,M30,0)</f>
        <v>0</v>
      </c>
      <c r="AK30" s="53">
        <f>IF(AN30=15,M30,0)</f>
        <v>0</v>
      </c>
      <c r="AL30" s="53">
        <f>IF(AN30=21,M30,0)</f>
        <v>0</v>
      </c>
      <c r="AN30" s="33">
        <v>21</v>
      </c>
      <c r="AO30" s="33">
        <f>L30*0.0116760563380282</f>
        <v>0</v>
      </c>
      <c r="AP30" s="33">
        <f>L30*(1-0.0116760563380282)</f>
        <v>0</v>
      </c>
      <c r="AQ30" s="59" t="s">
        <v>80</v>
      </c>
      <c r="AV30" s="33">
        <f>AW30+AX30</f>
        <v>0</v>
      </c>
      <c r="AW30" s="33">
        <f>K30*AO30</f>
        <v>0</v>
      </c>
      <c r="AX30" s="33">
        <f>K30*AP30</f>
        <v>0</v>
      </c>
      <c r="AY30" s="61" t="s">
        <v>1004</v>
      </c>
      <c r="AZ30" s="61" t="s">
        <v>1034</v>
      </c>
      <c r="BA30" s="58" t="s">
        <v>1040</v>
      </c>
      <c r="BC30" s="33">
        <f>AW30+AX30</f>
        <v>0</v>
      </c>
      <c r="BD30" s="33">
        <f>L30/(100-BE30)*100</f>
        <v>0</v>
      </c>
      <c r="BE30" s="33">
        <v>0</v>
      </c>
      <c r="BF30" s="33">
        <f>30</f>
        <v>30</v>
      </c>
      <c r="BH30" s="53">
        <f>K30*AO30</f>
        <v>0</v>
      </c>
      <c r="BI30" s="53">
        <f>K30*AP30</f>
        <v>0</v>
      </c>
      <c r="BJ30" s="53">
        <f>K30*L30</f>
        <v>0</v>
      </c>
      <c r="BK30" s="53" t="s">
        <v>1046</v>
      </c>
      <c r="BL30" s="33">
        <v>89</v>
      </c>
    </row>
    <row r="31" spans="1:14" ht="12.75">
      <c r="A31" s="17"/>
      <c r="D31" s="143" t="s">
        <v>783</v>
      </c>
      <c r="E31" s="144"/>
      <c r="F31" s="144"/>
      <c r="G31" s="144"/>
      <c r="H31" s="144"/>
      <c r="I31" s="144"/>
      <c r="K31" s="75">
        <v>2</v>
      </c>
      <c r="M31" s="14"/>
      <c r="N31" s="17"/>
    </row>
    <row r="32" spans="1:64" ht="12.75">
      <c r="A32" s="39" t="s">
        <v>87</v>
      </c>
      <c r="B32" s="46" t="s">
        <v>64</v>
      </c>
      <c r="C32" s="46" t="s">
        <v>413</v>
      </c>
      <c r="D32" s="148" t="s">
        <v>936</v>
      </c>
      <c r="E32" s="149"/>
      <c r="F32" s="149"/>
      <c r="G32" s="149"/>
      <c r="H32" s="149"/>
      <c r="I32" s="149"/>
      <c r="J32" s="46" t="s">
        <v>975</v>
      </c>
      <c r="K32" s="78">
        <f>'Stavební rozpočet'!K663</f>
        <v>2</v>
      </c>
      <c r="L32" s="54">
        <f>'Stavební rozpočet'!L663</f>
        <v>0</v>
      </c>
      <c r="M32" s="66">
        <f>K32*L32</f>
        <v>0</v>
      </c>
      <c r="N32" s="17"/>
      <c r="Z32" s="33">
        <f>IF(AQ32="5",BJ32,0)</f>
        <v>0</v>
      </c>
      <c r="AB32" s="33">
        <f>IF(AQ32="1",BH32,0)</f>
        <v>0</v>
      </c>
      <c r="AC32" s="33">
        <f>IF(AQ32="1",BI32,0)</f>
        <v>0</v>
      </c>
      <c r="AD32" s="33">
        <f>IF(AQ32="7",BH32,0)</f>
        <v>0</v>
      </c>
      <c r="AE32" s="33">
        <f>IF(AQ32="7",BI32,0)</f>
        <v>0</v>
      </c>
      <c r="AF32" s="33">
        <f>IF(AQ32="2",BH32,0)</f>
        <v>0</v>
      </c>
      <c r="AG32" s="33">
        <f>IF(AQ32="2",BI32,0)</f>
        <v>0</v>
      </c>
      <c r="AH32" s="33">
        <f>IF(AQ32="0",BJ32,0)</f>
        <v>0</v>
      </c>
      <c r="AI32" s="58" t="s">
        <v>64</v>
      </c>
      <c r="AJ32" s="54">
        <f>IF(AN32=0,M32,0)</f>
        <v>0</v>
      </c>
      <c r="AK32" s="54">
        <f>IF(AN32=15,M32,0)</f>
        <v>0</v>
      </c>
      <c r="AL32" s="54">
        <f>IF(AN32=21,M32,0)</f>
        <v>0</v>
      </c>
      <c r="AN32" s="33">
        <v>21</v>
      </c>
      <c r="AO32" s="33">
        <f>L32*1</f>
        <v>0</v>
      </c>
      <c r="AP32" s="33">
        <f>L32*(1-1)</f>
        <v>0</v>
      </c>
      <c r="AQ32" s="60" t="s">
        <v>80</v>
      </c>
      <c r="AV32" s="33">
        <f>AW32+AX32</f>
        <v>0</v>
      </c>
      <c r="AW32" s="33">
        <f>K32*AO32</f>
        <v>0</v>
      </c>
      <c r="AX32" s="33">
        <f>K32*AP32</f>
        <v>0</v>
      </c>
      <c r="AY32" s="61" t="s">
        <v>1004</v>
      </c>
      <c r="AZ32" s="61" t="s">
        <v>1034</v>
      </c>
      <c r="BA32" s="58" t="s">
        <v>1040</v>
      </c>
      <c r="BC32" s="33">
        <f>AW32+AX32</f>
        <v>0</v>
      </c>
      <c r="BD32" s="33">
        <f>L32/(100-BE32)*100</f>
        <v>0</v>
      </c>
      <c r="BE32" s="33">
        <v>0</v>
      </c>
      <c r="BF32" s="33">
        <f>32</f>
        <v>32</v>
      </c>
      <c r="BH32" s="54">
        <f>K32*AO32</f>
        <v>0</v>
      </c>
      <c r="BI32" s="54">
        <f>K32*AP32</f>
        <v>0</v>
      </c>
      <c r="BJ32" s="54">
        <f>K32*L32</f>
        <v>0</v>
      </c>
      <c r="BK32" s="54" t="s">
        <v>1047</v>
      </c>
      <c r="BL32" s="33">
        <v>89</v>
      </c>
    </row>
    <row r="33" spans="1:14" ht="12.75">
      <c r="A33" s="17"/>
      <c r="D33" s="143" t="s">
        <v>783</v>
      </c>
      <c r="E33" s="144"/>
      <c r="F33" s="144"/>
      <c r="G33" s="144"/>
      <c r="H33" s="144"/>
      <c r="I33" s="144"/>
      <c r="K33" s="75">
        <v>2</v>
      </c>
      <c r="M33" s="14"/>
      <c r="N33" s="17"/>
    </row>
    <row r="34" spans="1:47" ht="12.75">
      <c r="A34" s="37"/>
      <c r="B34" s="44" t="s">
        <v>64</v>
      </c>
      <c r="C34" s="44" t="s">
        <v>170</v>
      </c>
      <c r="D34" s="139" t="s">
        <v>761</v>
      </c>
      <c r="E34" s="140"/>
      <c r="F34" s="140"/>
      <c r="G34" s="140"/>
      <c r="H34" s="140"/>
      <c r="I34" s="140"/>
      <c r="J34" s="50" t="s">
        <v>59</v>
      </c>
      <c r="K34" s="50" t="s">
        <v>59</v>
      </c>
      <c r="L34" s="50" t="s">
        <v>59</v>
      </c>
      <c r="M34" s="64">
        <f>SUM(M35:M51)</f>
        <v>0</v>
      </c>
      <c r="N34" s="17"/>
      <c r="AI34" s="58" t="s">
        <v>64</v>
      </c>
      <c r="AS34" s="68">
        <f>SUM(AJ35:AJ51)</f>
        <v>0</v>
      </c>
      <c r="AT34" s="68">
        <f>SUM(AK35:AK51)</f>
        <v>0</v>
      </c>
      <c r="AU34" s="68">
        <f>SUM(AL35:AL51)</f>
        <v>0</v>
      </c>
    </row>
    <row r="35" spans="1:64" ht="12.75">
      <c r="A35" s="38" t="s">
        <v>88</v>
      </c>
      <c r="B35" s="45" t="s">
        <v>64</v>
      </c>
      <c r="C35" s="45" t="s">
        <v>352</v>
      </c>
      <c r="D35" s="141" t="s">
        <v>762</v>
      </c>
      <c r="E35" s="142"/>
      <c r="F35" s="142"/>
      <c r="G35" s="142"/>
      <c r="H35" s="142"/>
      <c r="I35" s="142"/>
      <c r="J35" s="45" t="s">
        <v>968</v>
      </c>
      <c r="K35" s="74">
        <f>'Stavební rozpočet'!K666</f>
        <v>57.8</v>
      </c>
      <c r="L35" s="53">
        <f>'Stavební rozpočet'!L666</f>
        <v>0</v>
      </c>
      <c r="M35" s="65">
        <f>K35*L35</f>
        <v>0</v>
      </c>
      <c r="N35" s="17"/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58" t="s">
        <v>64</v>
      </c>
      <c r="AJ35" s="53">
        <f>IF(AN35=0,M35,0)</f>
        <v>0</v>
      </c>
      <c r="AK35" s="53">
        <f>IF(AN35=15,M35,0)</f>
        <v>0</v>
      </c>
      <c r="AL35" s="53">
        <f>IF(AN35=21,M35,0)</f>
        <v>0</v>
      </c>
      <c r="AN35" s="33">
        <v>21</v>
      </c>
      <c r="AO35" s="33">
        <f>L35*0.669161603888214</f>
        <v>0</v>
      </c>
      <c r="AP35" s="33">
        <f>L35*(1-0.669161603888214)</f>
        <v>0</v>
      </c>
      <c r="AQ35" s="59" t="s">
        <v>80</v>
      </c>
      <c r="AV35" s="33">
        <f>AW35+AX35</f>
        <v>0</v>
      </c>
      <c r="AW35" s="33">
        <f>K35*AO35</f>
        <v>0</v>
      </c>
      <c r="AX35" s="33">
        <f>K35*AP35</f>
        <v>0</v>
      </c>
      <c r="AY35" s="61" t="s">
        <v>1007</v>
      </c>
      <c r="AZ35" s="61" t="s">
        <v>1035</v>
      </c>
      <c r="BA35" s="58" t="s">
        <v>1040</v>
      </c>
      <c r="BC35" s="33">
        <f>AW35+AX35</f>
        <v>0</v>
      </c>
      <c r="BD35" s="33">
        <f>L35/(100-BE35)*100</f>
        <v>0</v>
      </c>
      <c r="BE35" s="33">
        <v>0</v>
      </c>
      <c r="BF35" s="33">
        <f>35</f>
        <v>35</v>
      </c>
      <c r="BH35" s="53">
        <f>K35*AO35</f>
        <v>0</v>
      </c>
      <c r="BI35" s="53">
        <f>K35*AP35</f>
        <v>0</v>
      </c>
      <c r="BJ35" s="53">
        <f>K35*L35</f>
        <v>0</v>
      </c>
      <c r="BK35" s="53" t="s">
        <v>1046</v>
      </c>
      <c r="BL35" s="33">
        <v>91</v>
      </c>
    </row>
    <row r="36" spans="1:14" ht="12.75">
      <c r="A36" s="17"/>
      <c r="D36" s="143" t="s">
        <v>937</v>
      </c>
      <c r="E36" s="144"/>
      <c r="F36" s="144"/>
      <c r="G36" s="144"/>
      <c r="H36" s="144"/>
      <c r="I36" s="144"/>
      <c r="K36" s="75">
        <v>43.5</v>
      </c>
      <c r="M36" s="14"/>
      <c r="N36" s="17"/>
    </row>
    <row r="37" spans="1:14" ht="12.75">
      <c r="A37" s="17"/>
      <c r="D37" s="143" t="s">
        <v>938</v>
      </c>
      <c r="E37" s="144"/>
      <c r="F37" s="144"/>
      <c r="G37" s="144"/>
      <c r="H37" s="144"/>
      <c r="I37" s="144"/>
      <c r="K37" s="75">
        <v>12.3</v>
      </c>
      <c r="M37" s="14"/>
      <c r="N37" s="17"/>
    </row>
    <row r="38" spans="1:14" ht="12.75">
      <c r="A38" s="17"/>
      <c r="D38" s="143" t="s">
        <v>939</v>
      </c>
      <c r="E38" s="144"/>
      <c r="F38" s="144"/>
      <c r="G38" s="144"/>
      <c r="H38" s="144"/>
      <c r="I38" s="144"/>
      <c r="K38" s="75">
        <v>2</v>
      </c>
      <c r="M38" s="14"/>
      <c r="N38" s="17"/>
    </row>
    <row r="39" spans="1:64" ht="12.75">
      <c r="A39" s="39" t="s">
        <v>89</v>
      </c>
      <c r="B39" s="46" t="s">
        <v>64</v>
      </c>
      <c r="C39" s="46" t="s">
        <v>353</v>
      </c>
      <c r="D39" s="148" t="s">
        <v>764</v>
      </c>
      <c r="E39" s="149"/>
      <c r="F39" s="149"/>
      <c r="G39" s="149"/>
      <c r="H39" s="149"/>
      <c r="I39" s="149"/>
      <c r="J39" s="46" t="s">
        <v>975</v>
      </c>
      <c r="K39" s="78">
        <f>'Stavební rozpočet'!K670</f>
        <v>44.805</v>
      </c>
      <c r="L39" s="54">
        <f>'Stavební rozpočet'!L670</f>
        <v>0</v>
      </c>
      <c r="M39" s="66">
        <f>K39*L39</f>
        <v>0</v>
      </c>
      <c r="N39" s="17"/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58" t="s">
        <v>64</v>
      </c>
      <c r="AJ39" s="54">
        <f>IF(AN39=0,M39,0)</f>
        <v>0</v>
      </c>
      <c r="AK39" s="54">
        <f>IF(AN39=15,M39,0)</f>
        <v>0</v>
      </c>
      <c r="AL39" s="54">
        <f>IF(AN39=21,M39,0)</f>
        <v>0</v>
      </c>
      <c r="AN39" s="33">
        <v>21</v>
      </c>
      <c r="AO39" s="33">
        <f>L39*1</f>
        <v>0</v>
      </c>
      <c r="AP39" s="33">
        <f>L39*(1-1)</f>
        <v>0</v>
      </c>
      <c r="AQ39" s="60" t="s">
        <v>80</v>
      </c>
      <c r="AV39" s="33">
        <f>AW39+AX39</f>
        <v>0</v>
      </c>
      <c r="AW39" s="33">
        <f>K39*AO39</f>
        <v>0</v>
      </c>
      <c r="AX39" s="33">
        <f>K39*AP39</f>
        <v>0</v>
      </c>
      <c r="AY39" s="61" t="s">
        <v>1007</v>
      </c>
      <c r="AZ39" s="61" t="s">
        <v>1035</v>
      </c>
      <c r="BA39" s="58" t="s">
        <v>1040</v>
      </c>
      <c r="BC39" s="33">
        <f>AW39+AX39</f>
        <v>0</v>
      </c>
      <c r="BD39" s="33">
        <f>L39/(100-BE39)*100</f>
        <v>0</v>
      </c>
      <c r="BE39" s="33">
        <v>0</v>
      </c>
      <c r="BF39" s="33">
        <f>39</f>
        <v>39</v>
      </c>
      <c r="BH39" s="54">
        <f>K39*AO39</f>
        <v>0</v>
      </c>
      <c r="BI39" s="54">
        <f>K39*AP39</f>
        <v>0</v>
      </c>
      <c r="BJ39" s="54">
        <f>K39*L39</f>
        <v>0</v>
      </c>
      <c r="BK39" s="54" t="s">
        <v>1047</v>
      </c>
      <c r="BL39" s="33">
        <v>91</v>
      </c>
    </row>
    <row r="40" spans="1:14" ht="12.75">
      <c r="A40" s="17"/>
      <c r="D40" s="143" t="s">
        <v>940</v>
      </c>
      <c r="E40" s="144"/>
      <c r="F40" s="144"/>
      <c r="G40" s="144"/>
      <c r="H40" s="144"/>
      <c r="I40" s="144"/>
      <c r="K40" s="75">
        <v>43.5</v>
      </c>
      <c r="M40" s="14"/>
      <c r="N40" s="17"/>
    </row>
    <row r="41" spans="1:14" ht="12.75">
      <c r="A41" s="17"/>
      <c r="D41" s="143" t="s">
        <v>941</v>
      </c>
      <c r="E41" s="144"/>
      <c r="F41" s="144"/>
      <c r="G41" s="144"/>
      <c r="H41" s="144"/>
      <c r="I41" s="144"/>
      <c r="K41" s="75">
        <v>1.305</v>
      </c>
      <c r="M41" s="14"/>
      <c r="N41" s="17"/>
    </row>
    <row r="42" spans="1:64" ht="12.75">
      <c r="A42" s="39" t="s">
        <v>90</v>
      </c>
      <c r="B42" s="46" t="s">
        <v>64</v>
      </c>
      <c r="C42" s="46" t="s">
        <v>381</v>
      </c>
      <c r="D42" s="148" t="s">
        <v>838</v>
      </c>
      <c r="E42" s="149"/>
      <c r="F42" s="149"/>
      <c r="G42" s="149"/>
      <c r="H42" s="149"/>
      <c r="I42" s="149"/>
      <c r="J42" s="46" t="s">
        <v>975</v>
      </c>
      <c r="K42" s="78">
        <f>'Stavební rozpočet'!K673</f>
        <v>12.669</v>
      </c>
      <c r="L42" s="54">
        <f>'Stavební rozpočet'!L673</f>
        <v>0</v>
      </c>
      <c r="M42" s="66">
        <f>K42*L42</f>
        <v>0</v>
      </c>
      <c r="N42" s="17"/>
      <c r="Z42" s="33">
        <f>IF(AQ42="5",BJ42,0)</f>
        <v>0</v>
      </c>
      <c r="AB42" s="33">
        <f>IF(AQ42="1",BH42,0)</f>
        <v>0</v>
      </c>
      <c r="AC42" s="33">
        <f>IF(AQ42="1",BI42,0)</f>
        <v>0</v>
      </c>
      <c r="AD42" s="33">
        <f>IF(AQ42="7",BH42,0)</f>
        <v>0</v>
      </c>
      <c r="AE42" s="33">
        <f>IF(AQ42="7",BI42,0)</f>
        <v>0</v>
      </c>
      <c r="AF42" s="33">
        <f>IF(AQ42="2",BH42,0)</f>
        <v>0</v>
      </c>
      <c r="AG42" s="33">
        <f>IF(AQ42="2",BI42,0)</f>
        <v>0</v>
      </c>
      <c r="AH42" s="33">
        <f>IF(AQ42="0",BJ42,0)</f>
        <v>0</v>
      </c>
      <c r="AI42" s="58" t="s">
        <v>64</v>
      </c>
      <c r="AJ42" s="54">
        <f>IF(AN42=0,M42,0)</f>
        <v>0</v>
      </c>
      <c r="AK42" s="54">
        <f>IF(AN42=15,M42,0)</f>
        <v>0</v>
      </c>
      <c r="AL42" s="54">
        <f>IF(AN42=21,M42,0)</f>
        <v>0</v>
      </c>
      <c r="AN42" s="33">
        <v>21</v>
      </c>
      <c r="AO42" s="33">
        <f>L42*1</f>
        <v>0</v>
      </c>
      <c r="AP42" s="33">
        <f>L42*(1-1)</f>
        <v>0</v>
      </c>
      <c r="AQ42" s="60" t="s">
        <v>80</v>
      </c>
      <c r="AV42" s="33">
        <f>AW42+AX42</f>
        <v>0</v>
      </c>
      <c r="AW42" s="33">
        <f>K42*AO42</f>
        <v>0</v>
      </c>
      <c r="AX42" s="33">
        <f>K42*AP42</f>
        <v>0</v>
      </c>
      <c r="AY42" s="61" t="s">
        <v>1007</v>
      </c>
      <c r="AZ42" s="61" t="s">
        <v>1035</v>
      </c>
      <c r="BA42" s="58" t="s">
        <v>1040</v>
      </c>
      <c r="BC42" s="33">
        <f>AW42+AX42</f>
        <v>0</v>
      </c>
      <c r="BD42" s="33">
        <f>L42/(100-BE42)*100</f>
        <v>0</v>
      </c>
      <c r="BE42" s="33">
        <v>0</v>
      </c>
      <c r="BF42" s="33">
        <f>42</f>
        <v>42</v>
      </c>
      <c r="BH42" s="54">
        <f>K42*AO42</f>
        <v>0</v>
      </c>
      <c r="BI42" s="54">
        <f>K42*AP42</f>
        <v>0</v>
      </c>
      <c r="BJ42" s="54">
        <f>K42*L42</f>
        <v>0</v>
      </c>
      <c r="BK42" s="54" t="s">
        <v>1047</v>
      </c>
      <c r="BL42" s="33">
        <v>91</v>
      </c>
    </row>
    <row r="43" spans="1:14" ht="12.75">
      <c r="A43" s="17"/>
      <c r="D43" s="143" t="s">
        <v>942</v>
      </c>
      <c r="E43" s="144"/>
      <c r="F43" s="144"/>
      <c r="G43" s="144"/>
      <c r="H43" s="144"/>
      <c r="I43" s="144"/>
      <c r="K43" s="75">
        <v>12.3</v>
      </c>
      <c r="M43" s="14"/>
      <c r="N43" s="17"/>
    </row>
    <row r="44" spans="1:14" ht="12.75">
      <c r="A44" s="17"/>
      <c r="D44" s="143" t="s">
        <v>943</v>
      </c>
      <c r="E44" s="144"/>
      <c r="F44" s="144"/>
      <c r="G44" s="144"/>
      <c r="H44" s="144"/>
      <c r="I44" s="144"/>
      <c r="K44" s="75">
        <v>0.369</v>
      </c>
      <c r="M44" s="14"/>
      <c r="N44" s="17"/>
    </row>
    <row r="45" spans="1:64" ht="12.75">
      <c r="A45" s="39" t="s">
        <v>91</v>
      </c>
      <c r="B45" s="46" t="s">
        <v>64</v>
      </c>
      <c r="C45" s="46" t="s">
        <v>414</v>
      </c>
      <c r="D45" s="148" t="s">
        <v>944</v>
      </c>
      <c r="E45" s="149"/>
      <c r="F45" s="149"/>
      <c r="G45" s="149"/>
      <c r="H45" s="149"/>
      <c r="I45" s="149"/>
      <c r="J45" s="46" t="s">
        <v>975</v>
      </c>
      <c r="K45" s="78">
        <f>'Stavební rozpočet'!K676</f>
        <v>1.03</v>
      </c>
      <c r="L45" s="54">
        <f>'Stavební rozpočet'!L676</f>
        <v>0</v>
      </c>
      <c r="M45" s="66">
        <f>K45*L45</f>
        <v>0</v>
      </c>
      <c r="N45" s="17"/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58" t="s">
        <v>64</v>
      </c>
      <c r="AJ45" s="54">
        <f>IF(AN45=0,M45,0)</f>
        <v>0</v>
      </c>
      <c r="AK45" s="54">
        <f>IF(AN45=15,M45,0)</f>
        <v>0</v>
      </c>
      <c r="AL45" s="54">
        <f>IF(AN45=21,M45,0)</f>
        <v>0</v>
      </c>
      <c r="AN45" s="33">
        <v>21</v>
      </c>
      <c r="AO45" s="33">
        <f>L45*1</f>
        <v>0</v>
      </c>
      <c r="AP45" s="33">
        <f>L45*(1-1)</f>
        <v>0</v>
      </c>
      <c r="AQ45" s="60" t="s">
        <v>80</v>
      </c>
      <c r="AV45" s="33">
        <f>AW45+AX45</f>
        <v>0</v>
      </c>
      <c r="AW45" s="33">
        <f>K45*AO45</f>
        <v>0</v>
      </c>
      <c r="AX45" s="33">
        <f>K45*AP45</f>
        <v>0</v>
      </c>
      <c r="AY45" s="61" t="s">
        <v>1007</v>
      </c>
      <c r="AZ45" s="61" t="s">
        <v>1035</v>
      </c>
      <c r="BA45" s="58" t="s">
        <v>1040</v>
      </c>
      <c r="BC45" s="33">
        <f>AW45+AX45</f>
        <v>0</v>
      </c>
      <c r="BD45" s="33">
        <f>L45/(100-BE45)*100</f>
        <v>0</v>
      </c>
      <c r="BE45" s="33">
        <v>0</v>
      </c>
      <c r="BF45" s="33">
        <f>45</f>
        <v>45</v>
      </c>
      <c r="BH45" s="54">
        <f>K45*AO45</f>
        <v>0</v>
      </c>
      <c r="BI45" s="54">
        <f>K45*AP45</f>
        <v>0</v>
      </c>
      <c r="BJ45" s="54">
        <f>K45*L45</f>
        <v>0</v>
      </c>
      <c r="BK45" s="54" t="s">
        <v>1047</v>
      </c>
      <c r="BL45" s="33">
        <v>91</v>
      </c>
    </row>
    <row r="46" spans="1:14" ht="12.75">
      <c r="A46" s="17"/>
      <c r="D46" s="143" t="s">
        <v>663</v>
      </c>
      <c r="E46" s="144"/>
      <c r="F46" s="144"/>
      <c r="G46" s="144"/>
      <c r="H46" s="144"/>
      <c r="I46" s="144"/>
      <c r="K46" s="75">
        <v>1</v>
      </c>
      <c r="M46" s="14"/>
      <c r="N46" s="17"/>
    </row>
    <row r="47" spans="1:14" ht="12.75">
      <c r="A47" s="17"/>
      <c r="D47" s="143" t="s">
        <v>699</v>
      </c>
      <c r="E47" s="144"/>
      <c r="F47" s="144"/>
      <c r="G47" s="144"/>
      <c r="H47" s="144"/>
      <c r="I47" s="144"/>
      <c r="K47" s="75">
        <v>0.03</v>
      </c>
      <c r="M47" s="14"/>
      <c r="N47" s="17"/>
    </row>
    <row r="48" spans="1:64" ht="12.75">
      <c r="A48" s="39" t="s">
        <v>92</v>
      </c>
      <c r="B48" s="46" t="s">
        <v>64</v>
      </c>
      <c r="C48" s="46" t="s">
        <v>415</v>
      </c>
      <c r="D48" s="148" t="s">
        <v>945</v>
      </c>
      <c r="E48" s="149"/>
      <c r="F48" s="149"/>
      <c r="G48" s="149"/>
      <c r="H48" s="149"/>
      <c r="I48" s="149"/>
      <c r="J48" s="46" t="s">
        <v>975</v>
      </c>
      <c r="K48" s="78">
        <f>'Stavební rozpočet'!K679</f>
        <v>1.03</v>
      </c>
      <c r="L48" s="54">
        <f>'Stavební rozpočet'!L679</f>
        <v>0</v>
      </c>
      <c r="M48" s="66">
        <f>K48*L48</f>
        <v>0</v>
      </c>
      <c r="N48" s="17"/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58" t="s">
        <v>64</v>
      </c>
      <c r="AJ48" s="54">
        <f>IF(AN48=0,M48,0)</f>
        <v>0</v>
      </c>
      <c r="AK48" s="54">
        <f>IF(AN48=15,M48,0)</f>
        <v>0</v>
      </c>
      <c r="AL48" s="54">
        <f>IF(AN48=21,M48,0)</f>
        <v>0</v>
      </c>
      <c r="AN48" s="33">
        <v>21</v>
      </c>
      <c r="AO48" s="33">
        <f>L48*1</f>
        <v>0</v>
      </c>
      <c r="AP48" s="33">
        <f>L48*(1-1)</f>
        <v>0</v>
      </c>
      <c r="AQ48" s="60" t="s">
        <v>80</v>
      </c>
      <c r="AV48" s="33">
        <f>AW48+AX48</f>
        <v>0</v>
      </c>
      <c r="AW48" s="33">
        <f>K48*AO48</f>
        <v>0</v>
      </c>
      <c r="AX48" s="33">
        <f>K48*AP48</f>
        <v>0</v>
      </c>
      <c r="AY48" s="61" t="s">
        <v>1007</v>
      </c>
      <c r="AZ48" s="61" t="s">
        <v>1035</v>
      </c>
      <c r="BA48" s="58" t="s">
        <v>1040</v>
      </c>
      <c r="BC48" s="33">
        <f>AW48+AX48</f>
        <v>0</v>
      </c>
      <c r="BD48" s="33">
        <f>L48/(100-BE48)*100</f>
        <v>0</v>
      </c>
      <c r="BE48" s="33">
        <v>0</v>
      </c>
      <c r="BF48" s="33">
        <f>48</f>
        <v>48</v>
      </c>
      <c r="BH48" s="54">
        <f>K48*AO48</f>
        <v>0</v>
      </c>
      <c r="BI48" s="54">
        <f>K48*AP48</f>
        <v>0</v>
      </c>
      <c r="BJ48" s="54">
        <f>K48*L48</f>
        <v>0</v>
      </c>
      <c r="BK48" s="54" t="s">
        <v>1047</v>
      </c>
      <c r="BL48" s="33">
        <v>91</v>
      </c>
    </row>
    <row r="49" spans="1:14" ht="12.75">
      <c r="A49" s="17"/>
      <c r="D49" s="143" t="s">
        <v>663</v>
      </c>
      <c r="E49" s="144"/>
      <c r="F49" s="144"/>
      <c r="G49" s="144"/>
      <c r="H49" s="144"/>
      <c r="I49" s="144"/>
      <c r="K49" s="75">
        <v>1</v>
      </c>
      <c r="M49" s="14"/>
      <c r="N49" s="17"/>
    </row>
    <row r="50" spans="1:14" ht="12.75">
      <c r="A50" s="17"/>
      <c r="D50" s="143" t="s">
        <v>699</v>
      </c>
      <c r="E50" s="144"/>
      <c r="F50" s="144"/>
      <c r="G50" s="144"/>
      <c r="H50" s="144"/>
      <c r="I50" s="144"/>
      <c r="K50" s="75">
        <v>0.03</v>
      </c>
      <c r="M50" s="14"/>
      <c r="N50" s="17"/>
    </row>
    <row r="51" spans="1:64" ht="12.75">
      <c r="A51" s="38" t="s">
        <v>93</v>
      </c>
      <c r="B51" s="45" t="s">
        <v>64</v>
      </c>
      <c r="C51" s="45" t="s">
        <v>416</v>
      </c>
      <c r="D51" s="141" t="s">
        <v>946</v>
      </c>
      <c r="E51" s="142"/>
      <c r="F51" s="142"/>
      <c r="G51" s="142"/>
      <c r="H51" s="142"/>
      <c r="I51" s="142"/>
      <c r="J51" s="45" t="s">
        <v>968</v>
      </c>
      <c r="K51" s="74">
        <f>'Stavební rozpočet'!K682</f>
        <v>11</v>
      </c>
      <c r="L51" s="53">
        <f>'Stavební rozpočet'!L682</f>
        <v>0</v>
      </c>
      <c r="M51" s="65">
        <f>K51*L51</f>
        <v>0</v>
      </c>
      <c r="N51" s="17"/>
      <c r="Z51" s="33">
        <f>IF(AQ51="5",BJ51,0)</f>
        <v>0</v>
      </c>
      <c r="AB51" s="33">
        <f>IF(AQ51="1",BH51,0)</f>
        <v>0</v>
      </c>
      <c r="AC51" s="33">
        <f>IF(AQ51="1",BI51,0)</f>
        <v>0</v>
      </c>
      <c r="AD51" s="33">
        <f>IF(AQ51="7",BH51,0)</f>
        <v>0</v>
      </c>
      <c r="AE51" s="33">
        <f>IF(AQ51="7",BI51,0)</f>
        <v>0</v>
      </c>
      <c r="AF51" s="33">
        <f>IF(AQ51="2",BH51,0)</f>
        <v>0</v>
      </c>
      <c r="AG51" s="33">
        <f>IF(AQ51="2",BI51,0)</f>
        <v>0</v>
      </c>
      <c r="AH51" s="33">
        <f>IF(AQ51="0",BJ51,0)</f>
        <v>0</v>
      </c>
      <c r="AI51" s="58" t="s">
        <v>64</v>
      </c>
      <c r="AJ51" s="53">
        <f>IF(AN51=0,M51,0)</f>
        <v>0</v>
      </c>
      <c r="AK51" s="53">
        <f>IF(AN51=15,M51,0)</f>
        <v>0</v>
      </c>
      <c r="AL51" s="53">
        <f>IF(AN51=21,M51,0)</f>
        <v>0</v>
      </c>
      <c r="AN51" s="33">
        <v>21</v>
      </c>
      <c r="AO51" s="33">
        <f>L51*0.602838709677419</f>
        <v>0</v>
      </c>
      <c r="AP51" s="33">
        <f>L51*(1-0.602838709677419)</f>
        <v>0</v>
      </c>
      <c r="AQ51" s="59" t="s">
        <v>80</v>
      </c>
      <c r="AV51" s="33">
        <f>AW51+AX51</f>
        <v>0</v>
      </c>
      <c r="AW51" s="33">
        <f>K51*AO51</f>
        <v>0</v>
      </c>
      <c r="AX51" s="33">
        <f>K51*AP51</f>
        <v>0</v>
      </c>
      <c r="AY51" s="61" t="s">
        <v>1007</v>
      </c>
      <c r="AZ51" s="61" t="s">
        <v>1035</v>
      </c>
      <c r="BA51" s="58" t="s">
        <v>1040</v>
      </c>
      <c r="BC51" s="33">
        <f>AW51+AX51</f>
        <v>0</v>
      </c>
      <c r="BD51" s="33">
        <f>L51/(100-BE51)*100</f>
        <v>0</v>
      </c>
      <c r="BE51" s="33">
        <v>0</v>
      </c>
      <c r="BF51" s="33">
        <f>51</f>
        <v>51</v>
      </c>
      <c r="BH51" s="53">
        <f>K51*AO51</f>
        <v>0</v>
      </c>
      <c r="BI51" s="53">
        <f>K51*AP51</f>
        <v>0</v>
      </c>
      <c r="BJ51" s="53">
        <f>K51*L51</f>
        <v>0</v>
      </c>
      <c r="BK51" s="53" t="s">
        <v>1046</v>
      </c>
      <c r="BL51" s="33">
        <v>91</v>
      </c>
    </row>
    <row r="52" spans="1:14" ht="12.75">
      <c r="A52" s="17"/>
      <c r="D52" s="143" t="s">
        <v>947</v>
      </c>
      <c r="E52" s="144"/>
      <c r="F52" s="144"/>
      <c r="G52" s="144"/>
      <c r="H52" s="144"/>
      <c r="I52" s="144"/>
      <c r="K52" s="75">
        <v>11</v>
      </c>
      <c r="M52" s="14"/>
      <c r="N52" s="17"/>
    </row>
    <row r="53" spans="1:47" ht="12.75">
      <c r="A53" s="37"/>
      <c r="B53" s="44" t="s">
        <v>64</v>
      </c>
      <c r="C53" s="44" t="s">
        <v>364</v>
      </c>
      <c r="D53" s="139" t="s">
        <v>789</v>
      </c>
      <c r="E53" s="140"/>
      <c r="F53" s="140"/>
      <c r="G53" s="140"/>
      <c r="H53" s="140"/>
      <c r="I53" s="140"/>
      <c r="J53" s="50" t="s">
        <v>59</v>
      </c>
      <c r="K53" s="50" t="s">
        <v>59</v>
      </c>
      <c r="L53" s="50" t="s">
        <v>59</v>
      </c>
      <c r="M53" s="64">
        <f>SUM(M54:M65)</f>
        <v>0</v>
      </c>
      <c r="N53" s="17"/>
      <c r="AI53" s="58" t="s">
        <v>64</v>
      </c>
      <c r="AS53" s="68">
        <f>SUM(AJ54:AJ65)</f>
        <v>0</v>
      </c>
      <c r="AT53" s="68">
        <f>SUM(AK54:AK65)</f>
        <v>0</v>
      </c>
      <c r="AU53" s="68">
        <f>SUM(AL54:AL65)</f>
        <v>0</v>
      </c>
    </row>
    <row r="54" spans="1:64" ht="12.75">
      <c r="A54" s="38" t="s">
        <v>94</v>
      </c>
      <c r="B54" s="45" t="s">
        <v>64</v>
      </c>
      <c r="C54" s="45" t="s">
        <v>365</v>
      </c>
      <c r="D54" s="141" t="s">
        <v>790</v>
      </c>
      <c r="E54" s="142"/>
      <c r="F54" s="142"/>
      <c r="G54" s="142"/>
      <c r="H54" s="142"/>
      <c r="I54" s="142"/>
      <c r="J54" s="45" t="s">
        <v>974</v>
      </c>
      <c r="K54" s="74">
        <f>'Stavební rozpočet'!K685</f>
        <v>35.57</v>
      </c>
      <c r="L54" s="53">
        <f>'Stavební rozpočet'!L685</f>
        <v>0</v>
      </c>
      <c r="M54" s="65">
        <f>K54*L54</f>
        <v>0</v>
      </c>
      <c r="N54" s="17"/>
      <c r="Z54" s="33">
        <f>IF(AQ54="5",BJ54,0)</f>
        <v>0</v>
      </c>
      <c r="AB54" s="33">
        <f>IF(AQ54="1",BH54,0)</f>
        <v>0</v>
      </c>
      <c r="AC54" s="33">
        <f>IF(AQ54="1",BI54,0)</f>
        <v>0</v>
      </c>
      <c r="AD54" s="33">
        <f>IF(AQ54="7",BH54,0)</f>
        <v>0</v>
      </c>
      <c r="AE54" s="33">
        <f>IF(AQ54="7",BI54,0)</f>
        <v>0</v>
      </c>
      <c r="AF54" s="33">
        <f>IF(AQ54="2",BH54,0)</f>
        <v>0</v>
      </c>
      <c r="AG54" s="33">
        <f>IF(AQ54="2",BI54,0)</f>
        <v>0</v>
      </c>
      <c r="AH54" s="33">
        <f>IF(AQ54="0",BJ54,0)</f>
        <v>0</v>
      </c>
      <c r="AI54" s="58" t="s">
        <v>64</v>
      </c>
      <c r="AJ54" s="53">
        <f>IF(AN54=0,M54,0)</f>
        <v>0</v>
      </c>
      <c r="AK54" s="53">
        <f>IF(AN54=15,M54,0)</f>
        <v>0</v>
      </c>
      <c r="AL54" s="53">
        <f>IF(AN54=21,M54,0)</f>
        <v>0</v>
      </c>
      <c r="AN54" s="33">
        <v>21</v>
      </c>
      <c r="AO54" s="33">
        <f>L54*0.0100452105330111</f>
        <v>0</v>
      </c>
      <c r="AP54" s="33">
        <f>L54*(1-0.0100452105330111)</f>
        <v>0</v>
      </c>
      <c r="AQ54" s="59" t="s">
        <v>84</v>
      </c>
      <c r="AV54" s="33">
        <f>AW54+AX54</f>
        <v>0</v>
      </c>
      <c r="AW54" s="33">
        <f>K54*AO54</f>
        <v>0</v>
      </c>
      <c r="AX54" s="33">
        <f>K54*AP54</f>
        <v>0</v>
      </c>
      <c r="AY54" s="61" t="s">
        <v>1011</v>
      </c>
      <c r="AZ54" s="61" t="s">
        <v>1035</v>
      </c>
      <c r="BA54" s="58" t="s">
        <v>1040</v>
      </c>
      <c r="BC54" s="33">
        <f>AW54+AX54</f>
        <v>0</v>
      </c>
      <c r="BD54" s="33">
        <f>L54/(100-BE54)*100</f>
        <v>0</v>
      </c>
      <c r="BE54" s="33">
        <v>0</v>
      </c>
      <c r="BF54" s="33">
        <f>54</f>
        <v>54</v>
      </c>
      <c r="BH54" s="53">
        <f>K54*AO54</f>
        <v>0</v>
      </c>
      <c r="BI54" s="53">
        <f>K54*AP54</f>
        <v>0</v>
      </c>
      <c r="BJ54" s="53">
        <f>K54*L54</f>
        <v>0</v>
      </c>
      <c r="BK54" s="53" t="s">
        <v>1046</v>
      </c>
      <c r="BL54" s="33" t="s">
        <v>364</v>
      </c>
    </row>
    <row r="55" spans="1:14" ht="12.75">
      <c r="A55" s="17"/>
      <c r="D55" s="143" t="s">
        <v>948</v>
      </c>
      <c r="E55" s="144"/>
      <c r="F55" s="144"/>
      <c r="G55" s="144"/>
      <c r="H55" s="144"/>
      <c r="I55" s="144"/>
      <c r="K55" s="75">
        <v>22.88</v>
      </c>
      <c r="M55" s="14"/>
      <c r="N55" s="17"/>
    </row>
    <row r="56" spans="1:14" ht="12.75">
      <c r="A56" s="17"/>
      <c r="D56" s="143" t="s">
        <v>949</v>
      </c>
      <c r="E56" s="144"/>
      <c r="F56" s="144"/>
      <c r="G56" s="144"/>
      <c r="H56" s="144"/>
      <c r="I56" s="144"/>
      <c r="K56" s="75">
        <v>12.69</v>
      </c>
      <c r="M56" s="14"/>
      <c r="N56" s="17"/>
    </row>
    <row r="57" spans="1:64" ht="12.75">
      <c r="A57" s="38" t="s">
        <v>95</v>
      </c>
      <c r="B57" s="45" t="s">
        <v>64</v>
      </c>
      <c r="C57" s="45" t="s">
        <v>366</v>
      </c>
      <c r="D57" s="141" t="s">
        <v>792</v>
      </c>
      <c r="E57" s="142"/>
      <c r="F57" s="142"/>
      <c r="G57" s="142"/>
      <c r="H57" s="142"/>
      <c r="I57" s="142"/>
      <c r="J57" s="45" t="s">
        <v>974</v>
      </c>
      <c r="K57" s="74">
        <f>'Stavební rozpočet'!K688</f>
        <v>696.4</v>
      </c>
      <c r="L57" s="53">
        <f>'Stavební rozpočet'!L688</f>
        <v>0</v>
      </c>
      <c r="M57" s="65">
        <f>K57*L57</f>
        <v>0</v>
      </c>
      <c r="N57" s="17"/>
      <c r="Z57" s="33">
        <f>IF(AQ57="5",BJ57,0)</f>
        <v>0</v>
      </c>
      <c r="AB57" s="33">
        <f>IF(AQ57="1",BH57,0)</f>
        <v>0</v>
      </c>
      <c r="AC57" s="33">
        <f>IF(AQ57="1",BI57,0)</f>
        <v>0</v>
      </c>
      <c r="AD57" s="33">
        <f>IF(AQ57="7",BH57,0)</f>
        <v>0</v>
      </c>
      <c r="AE57" s="33">
        <f>IF(AQ57="7",BI57,0)</f>
        <v>0</v>
      </c>
      <c r="AF57" s="33">
        <f>IF(AQ57="2",BH57,0)</f>
        <v>0</v>
      </c>
      <c r="AG57" s="33">
        <f>IF(AQ57="2",BI57,0)</f>
        <v>0</v>
      </c>
      <c r="AH57" s="33">
        <f>IF(AQ57="0",BJ57,0)</f>
        <v>0</v>
      </c>
      <c r="AI57" s="58" t="s">
        <v>64</v>
      </c>
      <c r="AJ57" s="53">
        <f>IF(AN57=0,M57,0)</f>
        <v>0</v>
      </c>
      <c r="AK57" s="53">
        <f>IF(AN57=15,M57,0)</f>
        <v>0</v>
      </c>
      <c r="AL57" s="53">
        <f>IF(AN57=21,M57,0)</f>
        <v>0</v>
      </c>
      <c r="AN57" s="33">
        <v>21</v>
      </c>
      <c r="AO57" s="33">
        <f>L57*0</f>
        <v>0</v>
      </c>
      <c r="AP57" s="33">
        <f>L57*(1-0)</f>
        <v>0</v>
      </c>
      <c r="AQ57" s="59" t="s">
        <v>84</v>
      </c>
      <c r="AV57" s="33">
        <f>AW57+AX57</f>
        <v>0</v>
      </c>
      <c r="AW57" s="33">
        <f>K57*AO57</f>
        <v>0</v>
      </c>
      <c r="AX57" s="33">
        <f>K57*AP57</f>
        <v>0</v>
      </c>
      <c r="AY57" s="61" t="s">
        <v>1011</v>
      </c>
      <c r="AZ57" s="61" t="s">
        <v>1035</v>
      </c>
      <c r="BA57" s="58" t="s">
        <v>1040</v>
      </c>
      <c r="BC57" s="33">
        <f>AW57+AX57</f>
        <v>0</v>
      </c>
      <c r="BD57" s="33">
        <f>L57/(100-BE57)*100</f>
        <v>0</v>
      </c>
      <c r="BE57" s="33">
        <v>0</v>
      </c>
      <c r="BF57" s="33">
        <f>57</f>
        <v>57</v>
      </c>
      <c r="BH57" s="53">
        <f>K57*AO57</f>
        <v>0</v>
      </c>
      <c r="BI57" s="53">
        <f>K57*AP57</f>
        <v>0</v>
      </c>
      <c r="BJ57" s="53">
        <f>K57*L57</f>
        <v>0</v>
      </c>
      <c r="BK57" s="53" t="s">
        <v>1046</v>
      </c>
      <c r="BL57" s="33" t="s">
        <v>364</v>
      </c>
    </row>
    <row r="58" spans="1:14" ht="12.75">
      <c r="A58" s="17"/>
      <c r="D58" s="143" t="s">
        <v>950</v>
      </c>
      <c r="E58" s="144"/>
      <c r="F58" s="144"/>
      <c r="G58" s="144"/>
      <c r="H58" s="144"/>
      <c r="I58" s="144"/>
      <c r="K58" s="75">
        <v>101.52</v>
      </c>
      <c r="M58" s="14"/>
      <c r="N58" s="17"/>
    </row>
    <row r="59" spans="1:14" ht="12.75">
      <c r="A59" s="17"/>
      <c r="D59" s="143" t="s">
        <v>951</v>
      </c>
      <c r="E59" s="144"/>
      <c r="F59" s="144"/>
      <c r="G59" s="144"/>
      <c r="H59" s="144"/>
      <c r="I59" s="144"/>
      <c r="K59" s="75">
        <v>594.88</v>
      </c>
      <c r="M59" s="14"/>
      <c r="N59" s="17"/>
    </row>
    <row r="60" spans="1:64" ht="12.75">
      <c r="A60" s="38" t="s">
        <v>96</v>
      </c>
      <c r="B60" s="45" t="s">
        <v>64</v>
      </c>
      <c r="C60" s="45" t="s">
        <v>367</v>
      </c>
      <c r="D60" s="141" t="s">
        <v>794</v>
      </c>
      <c r="E60" s="142"/>
      <c r="F60" s="142"/>
      <c r="G60" s="142"/>
      <c r="H60" s="142"/>
      <c r="I60" s="142"/>
      <c r="J60" s="45" t="s">
        <v>974</v>
      </c>
      <c r="K60" s="74">
        <f>'Stavební rozpočet'!K691</f>
        <v>35.57</v>
      </c>
      <c r="L60" s="53">
        <f>'Stavební rozpočet'!L691</f>
        <v>0</v>
      </c>
      <c r="M60" s="65">
        <f>K60*L60</f>
        <v>0</v>
      </c>
      <c r="N60" s="17"/>
      <c r="Z60" s="33">
        <f>IF(AQ60="5",BJ60,0)</f>
        <v>0</v>
      </c>
      <c r="AB60" s="33">
        <f>IF(AQ60="1",BH60,0)</f>
        <v>0</v>
      </c>
      <c r="AC60" s="33">
        <f>IF(AQ60="1",BI60,0)</f>
        <v>0</v>
      </c>
      <c r="AD60" s="33">
        <f>IF(AQ60="7",BH60,0)</f>
        <v>0</v>
      </c>
      <c r="AE60" s="33">
        <f>IF(AQ60="7",BI60,0)</f>
        <v>0</v>
      </c>
      <c r="AF60" s="33">
        <f>IF(AQ60="2",BH60,0)</f>
        <v>0</v>
      </c>
      <c r="AG60" s="33">
        <f>IF(AQ60="2",BI60,0)</f>
        <v>0</v>
      </c>
      <c r="AH60" s="33">
        <f>IF(AQ60="0",BJ60,0)</f>
        <v>0</v>
      </c>
      <c r="AI60" s="58" t="s">
        <v>64</v>
      </c>
      <c r="AJ60" s="53">
        <f>IF(AN60=0,M60,0)</f>
        <v>0</v>
      </c>
      <c r="AK60" s="53">
        <f>IF(AN60=15,M60,0)</f>
        <v>0</v>
      </c>
      <c r="AL60" s="53">
        <f>IF(AN60=21,M60,0)</f>
        <v>0</v>
      </c>
      <c r="AN60" s="33">
        <v>21</v>
      </c>
      <c r="AO60" s="33">
        <f>L60*0</f>
        <v>0</v>
      </c>
      <c r="AP60" s="33">
        <f>L60*(1-0)</f>
        <v>0</v>
      </c>
      <c r="AQ60" s="59" t="s">
        <v>84</v>
      </c>
      <c r="AV60" s="33">
        <f>AW60+AX60</f>
        <v>0</v>
      </c>
      <c r="AW60" s="33">
        <f>K60*AO60</f>
        <v>0</v>
      </c>
      <c r="AX60" s="33">
        <f>K60*AP60</f>
        <v>0</v>
      </c>
      <c r="AY60" s="61" t="s">
        <v>1011</v>
      </c>
      <c r="AZ60" s="61" t="s">
        <v>1035</v>
      </c>
      <c r="BA60" s="58" t="s">
        <v>1040</v>
      </c>
      <c r="BC60" s="33">
        <f>AW60+AX60</f>
        <v>0</v>
      </c>
      <c r="BD60" s="33">
        <f>L60/(100-BE60)*100</f>
        <v>0</v>
      </c>
      <c r="BE60" s="33">
        <v>0</v>
      </c>
      <c r="BF60" s="33">
        <f>60</f>
        <v>60</v>
      </c>
      <c r="BH60" s="53">
        <f>K60*AO60</f>
        <v>0</v>
      </c>
      <c r="BI60" s="53">
        <f>K60*AP60</f>
        <v>0</v>
      </c>
      <c r="BJ60" s="53">
        <f>K60*L60</f>
        <v>0</v>
      </c>
      <c r="BK60" s="53" t="s">
        <v>1046</v>
      </c>
      <c r="BL60" s="33" t="s">
        <v>364</v>
      </c>
    </row>
    <row r="61" spans="1:14" ht="12.75">
      <c r="A61" s="17"/>
      <c r="D61" s="143" t="s">
        <v>952</v>
      </c>
      <c r="E61" s="144"/>
      <c r="F61" s="144"/>
      <c r="G61" s="144"/>
      <c r="H61" s="144"/>
      <c r="I61" s="144"/>
      <c r="K61" s="75">
        <v>35.57</v>
      </c>
      <c r="M61" s="14"/>
      <c r="N61" s="17"/>
    </row>
    <row r="62" spans="1:64" ht="12.75">
      <c r="A62" s="38" t="s">
        <v>97</v>
      </c>
      <c r="B62" s="45" t="s">
        <v>64</v>
      </c>
      <c r="C62" s="45" t="s">
        <v>368</v>
      </c>
      <c r="D62" s="141" t="s">
        <v>795</v>
      </c>
      <c r="E62" s="142"/>
      <c r="F62" s="142"/>
      <c r="G62" s="142"/>
      <c r="H62" s="142"/>
      <c r="I62" s="142"/>
      <c r="J62" s="45" t="s">
        <v>974</v>
      </c>
      <c r="K62" s="74">
        <f>'Stavební rozpočet'!K693</f>
        <v>35.57</v>
      </c>
      <c r="L62" s="53">
        <f>'Stavební rozpočet'!L693</f>
        <v>0</v>
      </c>
      <c r="M62" s="65">
        <f>K62*L62</f>
        <v>0</v>
      </c>
      <c r="N62" s="17"/>
      <c r="Z62" s="33">
        <f>IF(AQ62="5",BJ62,0)</f>
        <v>0</v>
      </c>
      <c r="AB62" s="33">
        <f>IF(AQ62="1",BH62,0)</f>
        <v>0</v>
      </c>
      <c r="AC62" s="33">
        <f>IF(AQ62="1",BI62,0)</f>
        <v>0</v>
      </c>
      <c r="AD62" s="33">
        <f>IF(AQ62="7",BH62,0)</f>
        <v>0</v>
      </c>
      <c r="AE62" s="33">
        <f>IF(AQ62="7",BI62,0)</f>
        <v>0</v>
      </c>
      <c r="AF62" s="33">
        <f>IF(AQ62="2",BH62,0)</f>
        <v>0</v>
      </c>
      <c r="AG62" s="33">
        <f>IF(AQ62="2",BI62,0)</f>
        <v>0</v>
      </c>
      <c r="AH62" s="33">
        <f>IF(AQ62="0",BJ62,0)</f>
        <v>0</v>
      </c>
      <c r="AI62" s="58" t="s">
        <v>64</v>
      </c>
      <c r="AJ62" s="53">
        <f>IF(AN62=0,M62,0)</f>
        <v>0</v>
      </c>
      <c r="AK62" s="53">
        <f>IF(AN62=15,M62,0)</f>
        <v>0</v>
      </c>
      <c r="AL62" s="53">
        <f>IF(AN62=21,M62,0)</f>
        <v>0</v>
      </c>
      <c r="AN62" s="33">
        <v>21</v>
      </c>
      <c r="AO62" s="33">
        <f>L62*0</f>
        <v>0</v>
      </c>
      <c r="AP62" s="33">
        <f>L62*(1-0)</f>
        <v>0</v>
      </c>
      <c r="AQ62" s="59" t="s">
        <v>84</v>
      </c>
      <c r="AV62" s="33">
        <f>AW62+AX62</f>
        <v>0</v>
      </c>
      <c r="AW62" s="33">
        <f>K62*AO62</f>
        <v>0</v>
      </c>
      <c r="AX62" s="33">
        <f>K62*AP62</f>
        <v>0</v>
      </c>
      <c r="AY62" s="61" t="s">
        <v>1011</v>
      </c>
      <c r="AZ62" s="61" t="s">
        <v>1035</v>
      </c>
      <c r="BA62" s="58" t="s">
        <v>1040</v>
      </c>
      <c r="BC62" s="33">
        <f>AW62+AX62</f>
        <v>0</v>
      </c>
      <c r="BD62" s="33">
        <f>L62/(100-BE62)*100</f>
        <v>0</v>
      </c>
      <c r="BE62" s="33">
        <v>0</v>
      </c>
      <c r="BF62" s="33">
        <f>62</f>
        <v>62</v>
      </c>
      <c r="BH62" s="53">
        <f>K62*AO62</f>
        <v>0</v>
      </c>
      <c r="BI62" s="53">
        <f>K62*AP62</f>
        <v>0</v>
      </c>
      <c r="BJ62" s="53">
        <f>K62*L62</f>
        <v>0</v>
      </c>
      <c r="BK62" s="53" t="s">
        <v>1046</v>
      </c>
      <c r="BL62" s="33" t="s">
        <v>364</v>
      </c>
    </row>
    <row r="63" spans="1:14" ht="12.75">
      <c r="A63" s="17"/>
      <c r="D63" s="143" t="s">
        <v>952</v>
      </c>
      <c r="E63" s="144"/>
      <c r="F63" s="144"/>
      <c r="G63" s="144"/>
      <c r="H63" s="144"/>
      <c r="I63" s="144"/>
      <c r="K63" s="75">
        <v>35.57</v>
      </c>
      <c r="M63" s="14"/>
      <c r="N63" s="17"/>
    </row>
    <row r="64" spans="1:64" ht="12.75">
      <c r="A64" s="38" t="s">
        <v>98</v>
      </c>
      <c r="B64" s="45" t="s">
        <v>64</v>
      </c>
      <c r="C64" s="45" t="s">
        <v>409</v>
      </c>
      <c r="D64" s="141" t="s">
        <v>927</v>
      </c>
      <c r="E64" s="142"/>
      <c r="F64" s="142"/>
      <c r="G64" s="142"/>
      <c r="H64" s="142"/>
      <c r="I64" s="142"/>
      <c r="J64" s="45" t="s">
        <v>974</v>
      </c>
      <c r="K64" s="74">
        <f>'Stavební rozpočet'!K695</f>
        <v>22.88</v>
      </c>
      <c r="L64" s="53">
        <f>'Stavební rozpočet'!L695</f>
        <v>0</v>
      </c>
      <c r="M64" s="65">
        <f>K64*L64</f>
        <v>0</v>
      </c>
      <c r="N64" s="17"/>
      <c r="Z64" s="33">
        <f>IF(AQ64="5",BJ64,0)</f>
        <v>0</v>
      </c>
      <c r="AB64" s="33">
        <f>IF(AQ64="1",BH64,0)</f>
        <v>0</v>
      </c>
      <c r="AC64" s="33">
        <f>IF(AQ64="1",BI64,0)</f>
        <v>0</v>
      </c>
      <c r="AD64" s="33">
        <f>IF(AQ64="7",BH64,0)</f>
        <v>0</v>
      </c>
      <c r="AE64" s="33">
        <f>IF(AQ64="7",BI64,0)</f>
        <v>0</v>
      </c>
      <c r="AF64" s="33">
        <f>IF(AQ64="2",BH64,0)</f>
        <v>0</v>
      </c>
      <c r="AG64" s="33">
        <f>IF(AQ64="2",BI64,0)</f>
        <v>0</v>
      </c>
      <c r="AH64" s="33">
        <f>IF(AQ64="0",BJ64,0)</f>
        <v>0</v>
      </c>
      <c r="AI64" s="58" t="s">
        <v>64</v>
      </c>
      <c r="AJ64" s="53">
        <f>IF(AN64=0,M64,0)</f>
        <v>0</v>
      </c>
      <c r="AK64" s="53">
        <f>IF(AN64=15,M64,0)</f>
        <v>0</v>
      </c>
      <c r="AL64" s="53">
        <f>IF(AN64=21,M64,0)</f>
        <v>0</v>
      </c>
      <c r="AN64" s="33">
        <v>21</v>
      </c>
      <c r="AO64" s="33">
        <f>L64*0</f>
        <v>0</v>
      </c>
      <c r="AP64" s="33">
        <f>L64*(1-0)</f>
        <v>0</v>
      </c>
      <c r="AQ64" s="59" t="s">
        <v>84</v>
      </c>
      <c r="AV64" s="33">
        <f>AW64+AX64</f>
        <v>0</v>
      </c>
      <c r="AW64" s="33">
        <f>K64*AO64</f>
        <v>0</v>
      </c>
      <c r="AX64" s="33">
        <f>K64*AP64</f>
        <v>0</v>
      </c>
      <c r="AY64" s="61" t="s">
        <v>1011</v>
      </c>
      <c r="AZ64" s="61" t="s">
        <v>1035</v>
      </c>
      <c r="BA64" s="58" t="s">
        <v>1040</v>
      </c>
      <c r="BC64" s="33">
        <f>AW64+AX64</f>
        <v>0</v>
      </c>
      <c r="BD64" s="33">
        <f>L64/(100-BE64)*100</f>
        <v>0</v>
      </c>
      <c r="BE64" s="33">
        <v>0</v>
      </c>
      <c r="BF64" s="33">
        <f>64</f>
        <v>64</v>
      </c>
      <c r="BH64" s="53">
        <f>K64*AO64</f>
        <v>0</v>
      </c>
      <c r="BI64" s="53">
        <f>K64*AP64</f>
        <v>0</v>
      </c>
      <c r="BJ64" s="53">
        <f>K64*L64</f>
        <v>0</v>
      </c>
      <c r="BK64" s="53" t="s">
        <v>1046</v>
      </c>
      <c r="BL64" s="33" t="s">
        <v>364</v>
      </c>
    </row>
    <row r="65" spans="1:64" ht="12.75">
      <c r="A65" s="38" t="s">
        <v>99</v>
      </c>
      <c r="B65" s="45" t="s">
        <v>64</v>
      </c>
      <c r="C65" s="45" t="s">
        <v>370</v>
      </c>
      <c r="D65" s="141" t="s">
        <v>799</v>
      </c>
      <c r="E65" s="142"/>
      <c r="F65" s="142"/>
      <c r="G65" s="142"/>
      <c r="H65" s="142"/>
      <c r="I65" s="142"/>
      <c r="J65" s="45" t="s">
        <v>974</v>
      </c>
      <c r="K65" s="74">
        <f>'Stavební rozpočet'!K696</f>
        <v>12.69</v>
      </c>
      <c r="L65" s="53">
        <f>'Stavební rozpočet'!L696</f>
        <v>0</v>
      </c>
      <c r="M65" s="65">
        <f>K65*L65</f>
        <v>0</v>
      </c>
      <c r="N65" s="17"/>
      <c r="Z65" s="33">
        <f>IF(AQ65="5",BJ65,0)</f>
        <v>0</v>
      </c>
      <c r="AB65" s="33">
        <f>IF(AQ65="1",BH65,0)</f>
        <v>0</v>
      </c>
      <c r="AC65" s="33">
        <f>IF(AQ65="1",BI65,0)</f>
        <v>0</v>
      </c>
      <c r="AD65" s="33">
        <f>IF(AQ65="7",BH65,0)</f>
        <v>0</v>
      </c>
      <c r="AE65" s="33">
        <f>IF(AQ65="7",BI65,0)</f>
        <v>0</v>
      </c>
      <c r="AF65" s="33">
        <f>IF(AQ65="2",BH65,0)</f>
        <v>0</v>
      </c>
      <c r="AG65" s="33">
        <f>IF(AQ65="2",BI65,0)</f>
        <v>0</v>
      </c>
      <c r="AH65" s="33">
        <f>IF(AQ65="0",BJ65,0)</f>
        <v>0</v>
      </c>
      <c r="AI65" s="58" t="s">
        <v>64</v>
      </c>
      <c r="AJ65" s="53">
        <f>IF(AN65=0,M65,0)</f>
        <v>0</v>
      </c>
      <c r="AK65" s="53">
        <f>IF(AN65=15,M65,0)</f>
        <v>0</v>
      </c>
      <c r="AL65" s="53">
        <f>IF(AN65=21,M65,0)</f>
        <v>0</v>
      </c>
      <c r="AN65" s="33">
        <v>21</v>
      </c>
      <c r="AO65" s="33">
        <f>L65*0</f>
        <v>0</v>
      </c>
      <c r="AP65" s="33">
        <f>L65*(1-0)</f>
        <v>0</v>
      </c>
      <c r="AQ65" s="59" t="s">
        <v>84</v>
      </c>
      <c r="AV65" s="33">
        <f>AW65+AX65</f>
        <v>0</v>
      </c>
      <c r="AW65" s="33">
        <f>K65*AO65</f>
        <v>0</v>
      </c>
      <c r="AX65" s="33">
        <f>K65*AP65</f>
        <v>0</v>
      </c>
      <c r="AY65" s="61" t="s">
        <v>1011</v>
      </c>
      <c r="AZ65" s="61" t="s">
        <v>1035</v>
      </c>
      <c r="BA65" s="58" t="s">
        <v>1040</v>
      </c>
      <c r="BC65" s="33">
        <f>AW65+AX65</f>
        <v>0</v>
      </c>
      <c r="BD65" s="33">
        <f>L65/(100-BE65)*100</f>
        <v>0</v>
      </c>
      <c r="BE65" s="33">
        <v>0</v>
      </c>
      <c r="BF65" s="33">
        <f>65</f>
        <v>65</v>
      </c>
      <c r="BH65" s="53">
        <f>K65*AO65</f>
        <v>0</v>
      </c>
      <c r="BI65" s="53">
        <f>K65*AP65</f>
        <v>0</v>
      </c>
      <c r="BJ65" s="53">
        <f>K65*L65</f>
        <v>0</v>
      </c>
      <c r="BK65" s="53" t="s">
        <v>1046</v>
      </c>
      <c r="BL65" s="33" t="s">
        <v>364</v>
      </c>
    </row>
    <row r="66" spans="1:47" ht="12.75">
      <c r="A66" s="37"/>
      <c r="B66" s="44" t="s">
        <v>64</v>
      </c>
      <c r="C66" s="44" t="s">
        <v>371</v>
      </c>
      <c r="D66" s="139" t="s">
        <v>802</v>
      </c>
      <c r="E66" s="140"/>
      <c r="F66" s="140"/>
      <c r="G66" s="140"/>
      <c r="H66" s="140"/>
      <c r="I66" s="140"/>
      <c r="J66" s="50" t="s">
        <v>59</v>
      </c>
      <c r="K66" s="50" t="s">
        <v>59</v>
      </c>
      <c r="L66" s="50" t="s">
        <v>59</v>
      </c>
      <c r="M66" s="64">
        <f>SUM(M67:M67)</f>
        <v>0</v>
      </c>
      <c r="N66" s="17"/>
      <c r="AI66" s="58" t="s">
        <v>64</v>
      </c>
      <c r="AS66" s="68">
        <f>SUM(AJ67:AJ67)</f>
        <v>0</v>
      </c>
      <c r="AT66" s="68">
        <f>SUM(AK67:AK67)</f>
        <v>0</v>
      </c>
      <c r="AU66" s="68">
        <f>SUM(AL67:AL67)</f>
        <v>0</v>
      </c>
    </row>
    <row r="67" spans="1:64" ht="12.75">
      <c r="A67" s="70" t="s">
        <v>100</v>
      </c>
      <c r="B67" s="71" t="s">
        <v>64</v>
      </c>
      <c r="C67" s="71" t="s">
        <v>386</v>
      </c>
      <c r="D67" s="154" t="s">
        <v>856</v>
      </c>
      <c r="E67" s="155"/>
      <c r="F67" s="155"/>
      <c r="G67" s="155"/>
      <c r="H67" s="155"/>
      <c r="I67" s="155"/>
      <c r="J67" s="71" t="s">
        <v>974</v>
      </c>
      <c r="K67" s="79">
        <f>'Stavební rozpočet'!K698</f>
        <v>50.612</v>
      </c>
      <c r="L67" s="72">
        <f>'Stavební rozpočet'!L698</f>
        <v>0</v>
      </c>
      <c r="M67" s="73">
        <f>K67*L67</f>
        <v>0</v>
      </c>
      <c r="N67" s="17"/>
      <c r="Z67" s="33">
        <f>IF(AQ67="5",BJ67,0)</f>
        <v>0</v>
      </c>
      <c r="AB67" s="33">
        <f>IF(AQ67="1",BH67,0)</f>
        <v>0</v>
      </c>
      <c r="AC67" s="33">
        <f>IF(AQ67="1",BI67,0)</f>
        <v>0</v>
      </c>
      <c r="AD67" s="33">
        <f>IF(AQ67="7",BH67,0)</f>
        <v>0</v>
      </c>
      <c r="AE67" s="33">
        <f>IF(AQ67="7",BI67,0)</f>
        <v>0</v>
      </c>
      <c r="AF67" s="33">
        <f>IF(AQ67="2",BH67,0)</f>
        <v>0</v>
      </c>
      <c r="AG67" s="33">
        <f>IF(AQ67="2",BI67,0)</f>
        <v>0</v>
      </c>
      <c r="AH67" s="33">
        <f>IF(AQ67="0",BJ67,0)</f>
        <v>0</v>
      </c>
      <c r="AI67" s="58" t="s">
        <v>64</v>
      </c>
      <c r="AJ67" s="53">
        <f>IF(AN67=0,M67,0)</f>
        <v>0</v>
      </c>
      <c r="AK67" s="53">
        <f>IF(AN67=15,M67,0)</f>
        <v>0</v>
      </c>
      <c r="AL67" s="53">
        <f>IF(AN67=21,M67,0)</f>
        <v>0</v>
      </c>
      <c r="AN67" s="33">
        <v>21</v>
      </c>
      <c r="AO67" s="33">
        <f>L67*0</f>
        <v>0</v>
      </c>
      <c r="AP67" s="33">
        <f>L67*(1-0)</f>
        <v>0</v>
      </c>
      <c r="AQ67" s="59" t="s">
        <v>84</v>
      </c>
      <c r="AV67" s="33">
        <f>AW67+AX67</f>
        <v>0</v>
      </c>
      <c r="AW67" s="33">
        <f>K67*AO67</f>
        <v>0</v>
      </c>
      <c r="AX67" s="33">
        <f>K67*AP67</f>
        <v>0</v>
      </c>
      <c r="AY67" s="61" t="s">
        <v>1012</v>
      </c>
      <c r="AZ67" s="61" t="s">
        <v>1035</v>
      </c>
      <c r="BA67" s="58" t="s">
        <v>1040</v>
      </c>
      <c r="BC67" s="33">
        <f>AW67+AX67</f>
        <v>0</v>
      </c>
      <c r="BD67" s="33">
        <f>L67/(100-BE67)*100</f>
        <v>0</v>
      </c>
      <c r="BE67" s="33">
        <v>0</v>
      </c>
      <c r="BF67" s="33">
        <f>67</f>
        <v>67</v>
      </c>
      <c r="BH67" s="53">
        <f>K67*AO67</f>
        <v>0</v>
      </c>
      <c r="BI67" s="53">
        <f>K67*AP67</f>
        <v>0</v>
      </c>
      <c r="BJ67" s="53">
        <f>K67*L67</f>
        <v>0</v>
      </c>
      <c r="BK67" s="53" t="s">
        <v>1046</v>
      </c>
      <c r="BL67" s="33" t="s">
        <v>371</v>
      </c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32">
        <f>ROUND(M13+M18+M23+M29+M34+M53+M66,1)</f>
        <v>0</v>
      </c>
    </row>
    <row r="69" ht="11.25" customHeight="1">
      <c r="A69" s="25" t="s">
        <v>18</v>
      </c>
    </row>
    <row r="70" spans="1:13" ht="12.75">
      <c r="A70" s="93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</row>
  </sheetData>
  <mergeCells count="84">
    <mergeCell ref="D64:I64"/>
    <mergeCell ref="D65:I65"/>
    <mergeCell ref="D66:I66"/>
    <mergeCell ref="D67:I67"/>
    <mergeCell ref="A70:M70"/>
    <mergeCell ref="D58:I58"/>
    <mergeCell ref="D59:I59"/>
    <mergeCell ref="D60:I60"/>
    <mergeCell ref="D61:I61"/>
    <mergeCell ref="D62:I62"/>
    <mergeCell ref="D63:I63"/>
    <mergeCell ref="D52:I52"/>
    <mergeCell ref="D53:I53"/>
    <mergeCell ref="D54:I54"/>
    <mergeCell ref="D55:I55"/>
    <mergeCell ref="D56:I56"/>
    <mergeCell ref="D57:I57"/>
    <mergeCell ref="D46:I46"/>
    <mergeCell ref="D47:I47"/>
    <mergeCell ref="D48:I48"/>
    <mergeCell ref="D49:I49"/>
    <mergeCell ref="D50:I50"/>
    <mergeCell ref="D51:I51"/>
    <mergeCell ref="D40:I40"/>
    <mergeCell ref="D41:I41"/>
    <mergeCell ref="D42:I42"/>
    <mergeCell ref="D43:I43"/>
    <mergeCell ref="D44:I44"/>
    <mergeCell ref="D45:I45"/>
    <mergeCell ref="D34:I34"/>
    <mergeCell ref="D35:I35"/>
    <mergeCell ref="D36:I36"/>
    <mergeCell ref="D37:I37"/>
    <mergeCell ref="D38:I38"/>
    <mergeCell ref="D39:I39"/>
    <mergeCell ref="D28:I28"/>
    <mergeCell ref="D29:I29"/>
    <mergeCell ref="D30:I30"/>
    <mergeCell ref="D31:I31"/>
    <mergeCell ref="D32:I32"/>
    <mergeCell ref="D33:I33"/>
    <mergeCell ref="D22:I22"/>
    <mergeCell ref="D23:I23"/>
    <mergeCell ref="D24:I24"/>
    <mergeCell ref="D25:I25"/>
    <mergeCell ref="D26:I26"/>
    <mergeCell ref="D27:I27"/>
    <mergeCell ref="D16:I16"/>
    <mergeCell ref="D17:I17"/>
    <mergeCell ref="D18:I18"/>
    <mergeCell ref="D19:I19"/>
    <mergeCell ref="D20:I20"/>
    <mergeCell ref="D21:I21"/>
    <mergeCell ref="D10:I10"/>
    <mergeCell ref="D11:I11"/>
    <mergeCell ref="D12:I12"/>
    <mergeCell ref="D13:I13"/>
    <mergeCell ref="D14:I14"/>
    <mergeCell ref="D15:I15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77"/>
      <c r="B1" s="1"/>
      <c r="C1" s="80" t="s">
        <v>1057</v>
      </c>
      <c r="D1" s="81"/>
      <c r="E1" s="81"/>
      <c r="F1" s="81"/>
      <c r="G1" s="81"/>
      <c r="H1" s="81"/>
      <c r="I1" s="81"/>
    </row>
    <row r="2" spans="1:10" ht="12.75">
      <c r="A2" s="82" t="s">
        <v>0</v>
      </c>
      <c r="B2" s="83"/>
      <c r="C2" s="86" t="str">
        <f>'Stavební rozpočet'!D2</f>
        <v>Rekonstrukce kanalizace a zpevněných ploch Hlavní náměstí 9-12; Krnov</v>
      </c>
      <c r="D2" s="87"/>
      <c r="E2" s="89" t="s">
        <v>32</v>
      </c>
      <c r="F2" s="89" t="str">
        <f>'Stavební rozpočet'!I2</f>
        <v> </v>
      </c>
      <c r="G2" s="83"/>
      <c r="H2" s="89" t="s">
        <v>52</v>
      </c>
      <c r="I2" s="90"/>
      <c r="J2" s="17"/>
    </row>
    <row r="3" spans="1:10" ht="25.7" customHeight="1">
      <c r="A3" s="84"/>
      <c r="B3" s="85"/>
      <c r="C3" s="88"/>
      <c r="D3" s="88"/>
      <c r="E3" s="85"/>
      <c r="F3" s="85"/>
      <c r="G3" s="85"/>
      <c r="H3" s="85"/>
      <c r="I3" s="91"/>
      <c r="J3" s="17"/>
    </row>
    <row r="4" spans="1:10" ht="12.75">
      <c r="A4" s="92" t="s">
        <v>1</v>
      </c>
      <c r="B4" s="85"/>
      <c r="C4" s="93" t="str">
        <f>'Stavební rozpočet'!D4</f>
        <v xml:space="preserve"> </v>
      </c>
      <c r="D4" s="85"/>
      <c r="E4" s="93" t="s">
        <v>33</v>
      </c>
      <c r="F4" s="93" t="str">
        <f>'Stavební rozpočet'!I4</f>
        <v>hProjekce - Libor Horák</v>
      </c>
      <c r="G4" s="85"/>
      <c r="H4" s="93" t="s">
        <v>52</v>
      </c>
      <c r="I4" s="94" t="s">
        <v>56</v>
      </c>
      <c r="J4" s="17"/>
    </row>
    <row r="5" spans="1:10" ht="12.75">
      <c r="A5" s="84"/>
      <c r="B5" s="85"/>
      <c r="C5" s="85"/>
      <c r="D5" s="85"/>
      <c r="E5" s="85"/>
      <c r="F5" s="85"/>
      <c r="G5" s="85"/>
      <c r="H5" s="85"/>
      <c r="I5" s="91"/>
      <c r="J5" s="17"/>
    </row>
    <row r="6" spans="1:10" ht="12.75">
      <c r="A6" s="92" t="s">
        <v>2</v>
      </c>
      <c r="B6" s="85"/>
      <c r="C6" s="93" t="str">
        <f>'Stavební rozpočet'!D6</f>
        <v>Krnov</v>
      </c>
      <c r="D6" s="85"/>
      <c r="E6" s="93" t="s">
        <v>34</v>
      </c>
      <c r="F6" s="93" t="str">
        <f>'Stavební rozpočet'!I6</f>
        <v> </v>
      </c>
      <c r="G6" s="85"/>
      <c r="H6" s="93" t="s">
        <v>52</v>
      </c>
      <c r="I6" s="94"/>
      <c r="J6" s="17"/>
    </row>
    <row r="7" spans="1:10" ht="12.75">
      <c r="A7" s="84"/>
      <c r="B7" s="85"/>
      <c r="C7" s="85"/>
      <c r="D7" s="85"/>
      <c r="E7" s="85"/>
      <c r="F7" s="85"/>
      <c r="G7" s="85"/>
      <c r="H7" s="85"/>
      <c r="I7" s="91"/>
      <c r="J7" s="17"/>
    </row>
    <row r="8" spans="1:10" ht="12.75">
      <c r="A8" s="92" t="s">
        <v>3</v>
      </c>
      <c r="B8" s="85"/>
      <c r="C8" s="93" t="str">
        <f>'Stavební rozpočet'!G4</f>
        <v>08.11.2021</v>
      </c>
      <c r="D8" s="85"/>
      <c r="E8" s="93" t="s">
        <v>35</v>
      </c>
      <c r="F8" s="93" t="str">
        <f>'Stavební rozpočet'!G6</f>
        <v xml:space="preserve"> </v>
      </c>
      <c r="G8" s="85"/>
      <c r="H8" s="95" t="s">
        <v>53</v>
      </c>
      <c r="I8" s="94" t="s">
        <v>89</v>
      </c>
      <c r="J8" s="17"/>
    </row>
    <row r="9" spans="1:10" ht="12.75">
      <c r="A9" s="84"/>
      <c r="B9" s="85"/>
      <c r="C9" s="85"/>
      <c r="D9" s="85"/>
      <c r="E9" s="85"/>
      <c r="F9" s="85"/>
      <c r="G9" s="85"/>
      <c r="H9" s="85"/>
      <c r="I9" s="91"/>
      <c r="J9" s="17"/>
    </row>
    <row r="10" spans="1:10" ht="12.75">
      <c r="A10" s="92" t="s">
        <v>4</v>
      </c>
      <c r="B10" s="85"/>
      <c r="C10" s="93" t="str">
        <f>'Stavební rozpočet'!D8</f>
        <v xml:space="preserve"> </v>
      </c>
      <c r="D10" s="85"/>
      <c r="E10" s="93" t="s">
        <v>36</v>
      </c>
      <c r="F10" s="93" t="str">
        <f>'Stavební rozpočet'!I8</f>
        <v> </v>
      </c>
      <c r="G10" s="85"/>
      <c r="H10" s="95" t="s">
        <v>54</v>
      </c>
      <c r="I10" s="98" t="str">
        <f>'Stavební rozpočet'!G8</f>
        <v>08.11.2021</v>
      </c>
      <c r="J10" s="17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9"/>
      <c r="J11" s="17"/>
    </row>
    <row r="12" spans="1:9" ht="23.45" customHeight="1">
      <c r="A12" s="100" t="s">
        <v>5</v>
      </c>
      <c r="B12" s="101"/>
      <c r="C12" s="101"/>
      <c r="D12" s="101"/>
      <c r="E12" s="101"/>
      <c r="F12" s="101"/>
      <c r="G12" s="101"/>
      <c r="H12" s="101"/>
      <c r="I12" s="101"/>
    </row>
    <row r="13" spans="1:10" ht="26.45" customHeight="1">
      <c r="A13" s="2" t="s">
        <v>6</v>
      </c>
      <c r="B13" s="102" t="s">
        <v>19</v>
      </c>
      <c r="C13" s="103"/>
      <c r="D13" s="2" t="s">
        <v>23</v>
      </c>
      <c r="E13" s="102" t="s">
        <v>37</v>
      </c>
      <c r="F13" s="103"/>
      <c r="G13" s="2" t="s">
        <v>38</v>
      </c>
      <c r="H13" s="102" t="s">
        <v>55</v>
      </c>
      <c r="I13" s="103"/>
      <c r="J13" s="17"/>
    </row>
    <row r="14" spans="1:10" ht="15.2" customHeight="1">
      <c r="A14" s="3" t="s">
        <v>7</v>
      </c>
      <c r="B14" s="8" t="s">
        <v>20</v>
      </c>
      <c r="C14" s="12">
        <f>SUM('Stavební rozpočet (VRN)'!AB12:AB721)</f>
        <v>0</v>
      </c>
      <c r="D14" s="104" t="s">
        <v>24</v>
      </c>
      <c r="E14" s="105"/>
      <c r="F14" s="12">
        <v>0</v>
      </c>
      <c r="G14" s="104" t="s">
        <v>39</v>
      </c>
      <c r="H14" s="105"/>
      <c r="I14" s="12">
        <v>0</v>
      </c>
      <c r="J14" s="17"/>
    </row>
    <row r="15" spans="1:10" ht="15.2" customHeight="1">
      <c r="A15" s="4"/>
      <c r="B15" s="8" t="s">
        <v>21</v>
      </c>
      <c r="C15" s="12">
        <f>SUM('Stavební rozpočet (VRN)'!AC12:AC721)</f>
        <v>0</v>
      </c>
      <c r="D15" s="104" t="s">
        <v>25</v>
      </c>
      <c r="E15" s="105"/>
      <c r="F15" s="12">
        <v>0</v>
      </c>
      <c r="G15" s="104" t="s">
        <v>40</v>
      </c>
      <c r="H15" s="105"/>
      <c r="I15" s="12">
        <v>0</v>
      </c>
      <c r="J15" s="17"/>
    </row>
    <row r="16" spans="1:10" ht="15.2" customHeight="1">
      <c r="A16" s="3" t="s">
        <v>8</v>
      </c>
      <c r="B16" s="8" t="s">
        <v>20</v>
      </c>
      <c r="C16" s="12">
        <f>SUM('Stavební rozpočet (VRN)'!AD12:AD721)</f>
        <v>0</v>
      </c>
      <c r="D16" s="104" t="s">
        <v>26</v>
      </c>
      <c r="E16" s="105"/>
      <c r="F16" s="12">
        <v>0</v>
      </c>
      <c r="G16" s="104" t="s">
        <v>41</v>
      </c>
      <c r="H16" s="105"/>
      <c r="I16" s="12">
        <v>0</v>
      </c>
      <c r="J16" s="17"/>
    </row>
    <row r="17" spans="1:10" ht="15.2" customHeight="1">
      <c r="A17" s="4"/>
      <c r="B17" s="8" t="s">
        <v>21</v>
      </c>
      <c r="C17" s="12">
        <f>SUM('Stavební rozpočet (VRN)'!AE12:AE721)</f>
        <v>0</v>
      </c>
      <c r="D17" s="104"/>
      <c r="E17" s="105"/>
      <c r="F17" s="13"/>
      <c r="G17" s="104" t="s">
        <v>42</v>
      </c>
      <c r="H17" s="105"/>
      <c r="I17" s="12">
        <v>0</v>
      </c>
      <c r="J17" s="17"/>
    </row>
    <row r="18" spans="1:10" ht="15.2" customHeight="1">
      <c r="A18" s="3" t="s">
        <v>9</v>
      </c>
      <c r="B18" s="8" t="s">
        <v>20</v>
      </c>
      <c r="C18" s="12">
        <f>SUM('Stavební rozpočet (VRN)'!AF12:AF721)</f>
        <v>0</v>
      </c>
      <c r="D18" s="104"/>
      <c r="E18" s="105"/>
      <c r="F18" s="13"/>
      <c r="G18" s="104" t="s">
        <v>43</v>
      </c>
      <c r="H18" s="105"/>
      <c r="I18" s="12">
        <v>0</v>
      </c>
      <c r="J18" s="17"/>
    </row>
    <row r="19" spans="1:10" ht="15.2" customHeight="1">
      <c r="A19" s="4"/>
      <c r="B19" s="8" t="s">
        <v>21</v>
      </c>
      <c r="C19" s="12">
        <f>SUM('Stavební rozpočet (VRN)'!AG12:AG721)</f>
        <v>0</v>
      </c>
      <c r="D19" s="104"/>
      <c r="E19" s="105"/>
      <c r="F19" s="13"/>
      <c r="G19" s="104" t="s">
        <v>44</v>
      </c>
      <c r="H19" s="105"/>
      <c r="I19" s="12">
        <v>0</v>
      </c>
      <c r="J19" s="17"/>
    </row>
    <row r="20" spans="1:10" ht="15.2" customHeight="1">
      <c r="A20" s="106" t="s">
        <v>10</v>
      </c>
      <c r="B20" s="107"/>
      <c r="C20" s="12">
        <f>SUM('Stavební rozpočet (VRN)'!AH12:AH721)</f>
        <v>0</v>
      </c>
      <c r="D20" s="104"/>
      <c r="E20" s="105"/>
      <c r="F20" s="13"/>
      <c r="G20" s="104"/>
      <c r="H20" s="105"/>
      <c r="I20" s="13"/>
      <c r="J20" s="17"/>
    </row>
    <row r="21" spans="1:10" ht="15.2" customHeight="1">
      <c r="A21" s="106" t="s">
        <v>11</v>
      </c>
      <c r="B21" s="107"/>
      <c r="C21" s="12">
        <f>SUM('Stavební rozpočet (VRN)'!Z12:Z721)</f>
        <v>0</v>
      </c>
      <c r="D21" s="104"/>
      <c r="E21" s="105"/>
      <c r="F21" s="13"/>
      <c r="G21" s="104"/>
      <c r="H21" s="105"/>
      <c r="I21" s="13"/>
      <c r="J21" s="17"/>
    </row>
    <row r="22" spans="1:10" ht="16.7" customHeight="1">
      <c r="A22" s="106" t="s">
        <v>12</v>
      </c>
      <c r="B22" s="107"/>
      <c r="C22" s="12">
        <f>ROUND(SUM(C14:C21),1)</f>
        <v>0</v>
      </c>
      <c r="D22" s="106" t="s">
        <v>27</v>
      </c>
      <c r="E22" s="107"/>
      <c r="F22" s="12">
        <f>SUM(F14:F21)</f>
        <v>0</v>
      </c>
      <c r="G22" s="106" t="s">
        <v>45</v>
      </c>
      <c r="H22" s="107"/>
      <c r="I22" s="12">
        <f>SUM(I14:I21)</f>
        <v>0</v>
      </c>
      <c r="J22" s="17"/>
    </row>
    <row r="23" spans="1:9" ht="15.2" customHeight="1">
      <c r="A23" s="5"/>
      <c r="B23" s="5"/>
      <c r="C23" s="5"/>
      <c r="D23" s="5"/>
      <c r="E23" s="5"/>
      <c r="F23" s="10"/>
      <c r="G23" s="106" t="s">
        <v>47</v>
      </c>
      <c r="H23" s="107"/>
      <c r="I23" s="69"/>
    </row>
    <row r="24" spans="1:8" ht="12.75">
      <c r="A24" s="1"/>
      <c r="B24" s="1"/>
      <c r="C24" s="1"/>
      <c r="G24" s="5"/>
      <c r="H24" s="5"/>
    </row>
    <row r="25" spans="1:9" ht="15.2" customHeight="1">
      <c r="A25" s="108" t="s">
        <v>13</v>
      </c>
      <c r="B25" s="109"/>
      <c r="C25" s="19">
        <f>ROUND(SUM('Stavební rozpočet (VRN)'!AJ12:AJ721),1)</f>
        <v>0</v>
      </c>
      <c r="D25" s="11"/>
      <c r="E25" s="1"/>
      <c r="F25" s="1"/>
      <c r="G25" s="1"/>
      <c r="H25" s="1"/>
      <c r="I25" s="1"/>
    </row>
    <row r="26" spans="1:10" ht="15.2" customHeight="1">
      <c r="A26" s="108" t="s">
        <v>14</v>
      </c>
      <c r="B26" s="109"/>
      <c r="C26" s="19">
        <f>ROUND(SUM('Stavební rozpočet (VRN)'!AK12:AK721),1)</f>
        <v>0</v>
      </c>
      <c r="D26" s="108" t="s">
        <v>29</v>
      </c>
      <c r="E26" s="109"/>
      <c r="F26" s="19">
        <f>ROUND(C26*(15/100),2)</f>
        <v>0</v>
      </c>
      <c r="G26" s="108" t="s">
        <v>49</v>
      </c>
      <c r="H26" s="109"/>
      <c r="I26" s="19">
        <f>ROUND(SUM(C25:C27),1)</f>
        <v>0</v>
      </c>
      <c r="J26" s="17"/>
    </row>
    <row r="27" spans="1:10" ht="15.2" customHeight="1">
      <c r="A27" s="108" t="s">
        <v>15</v>
      </c>
      <c r="B27" s="109"/>
      <c r="C27" s="19">
        <f>ROUND(SUM('Stavební rozpočet (VRN)'!AL12:AL721)+(F22+I22+F23+I23+I24),1)</f>
        <v>0</v>
      </c>
      <c r="D27" s="108" t="s">
        <v>30</v>
      </c>
      <c r="E27" s="109"/>
      <c r="F27" s="19">
        <f>ROUND(C27*(21/100),2)</f>
        <v>0</v>
      </c>
      <c r="G27" s="108" t="s">
        <v>50</v>
      </c>
      <c r="H27" s="109"/>
      <c r="I27" s="19">
        <f>ROUND(SUM(F26:F27)+I26,1)</f>
        <v>0</v>
      </c>
      <c r="J27" s="17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10" ht="14.45" customHeight="1">
      <c r="A29" s="110" t="s">
        <v>16</v>
      </c>
      <c r="B29" s="111"/>
      <c r="C29" s="112"/>
      <c r="D29" s="110" t="s">
        <v>31</v>
      </c>
      <c r="E29" s="111"/>
      <c r="F29" s="112"/>
      <c r="G29" s="110" t="s">
        <v>51</v>
      </c>
      <c r="H29" s="111"/>
      <c r="I29" s="112"/>
      <c r="J29" s="18"/>
    </row>
    <row r="30" spans="1:10" ht="14.45" customHeight="1">
      <c r="A30" s="113"/>
      <c r="B30" s="114"/>
      <c r="C30" s="115"/>
      <c r="D30" s="113"/>
      <c r="E30" s="114"/>
      <c r="F30" s="115"/>
      <c r="G30" s="113"/>
      <c r="H30" s="114"/>
      <c r="I30" s="115"/>
      <c r="J30" s="18"/>
    </row>
    <row r="31" spans="1:10" ht="14.45" customHeight="1">
      <c r="A31" s="113"/>
      <c r="B31" s="114"/>
      <c r="C31" s="115"/>
      <c r="D31" s="113"/>
      <c r="E31" s="114"/>
      <c r="F31" s="115"/>
      <c r="G31" s="113"/>
      <c r="H31" s="114"/>
      <c r="I31" s="115"/>
      <c r="J31" s="18"/>
    </row>
    <row r="32" spans="1:10" ht="14.45" customHeight="1">
      <c r="A32" s="113"/>
      <c r="B32" s="114"/>
      <c r="C32" s="115"/>
      <c r="D32" s="113"/>
      <c r="E32" s="114"/>
      <c r="F32" s="115"/>
      <c r="G32" s="113"/>
      <c r="H32" s="114"/>
      <c r="I32" s="115"/>
      <c r="J32" s="18"/>
    </row>
    <row r="33" spans="1:10" ht="14.45" customHeight="1">
      <c r="A33" s="116" t="s">
        <v>17</v>
      </c>
      <c r="B33" s="117"/>
      <c r="C33" s="118"/>
      <c r="D33" s="116" t="s">
        <v>17</v>
      </c>
      <c r="E33" s="117"/>
      <c r="F33" s="118"/>
      <c r="G33" s="116" t="s">
        <v>17</v>
      </c>
      <c r="H33" s="117"/>
      <c r="I33" s="118"/>
      <c r="J33" s="18"/>
    </row>
    <row r="34" spans="1:9" ht="11.25" customHeight="1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9" ht="12.75">
      <c r="A35" s="93"/>
      <c r="B35" s="85"/>
      <c r="C35" s="85"/>
      <c r="D35" s="85"/>
      <c r="E35" s="85"/>
      <c r="F35" s="85"/>
      <c r="G35" s="85"/>
      <c r="H35" s="85"/>
      <c r="I35" s="85"/>
    </row>
  </sheetData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G23:H23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7"/>
  <sheetViews>
    <sheetView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72.8515625" style="0" customWidth="1"/>
    <col min="10" max="10" width="4.28125" style="0" customWidth="1"/>
    <col min="11" max="11" width="12.8515625" style="0" customWidth="1"/>
    <col min="12" max="12" width="12.00390625" style="0" customWidth="1"/>
    <col min="13" max="13" width="14.28125" style="0" customWidth="1"/>
    <col min="25" max="64" width="12.140625" style="0" hidden="1" customWidth="1"/>
  </cols>
  <sheetData>
    <row r="1" spans="1:13" ht="72.95" customHeight="1">
      <c r="A1" s="119" t="s">
        <v>1058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12.75">
      <c r="A2" s="82" t="s">
        <v>0</v>
      </c>
      <c r="B2" s="83"/>
      <c r="C2" s="83"/>
      <c r="D2" s="86" t="str">
        <f>'Stavební rozpočet'!D2</f>
        <v>Rekonstrukce kanalizace a zpevněných ploch Hlavní náměstí 9-12; Krnov</v>
      </c>
      <c r="E2" s="133" t="s">
        <v>72</v>
      </c>
      <c r="F2" s="83"/>
      <c r="G2" s="89" t="str">
        <f>'Stavební rozpočet'!G2</f>
        <v xml:space="preserve"> </v>
      </c>
      <c r="H2" s="89" t="s">
        <v>32</v>
      </c>
      <c r="I2" s="89" t="str">
        <f>'Stavební rozpočet'!I2</f>
        <v> </v>
      </c>
      <c r="J2" s="83"/>
      <c r="K2" s="83"/>
      <c r="L2" s="83"/>
      <c r="M2" s="120"/>
      <c r="N2" s="17"/>
    </row>
    <row r="3" spans="1:14" ht="12.75">
      <c r="A3" s="84"/>
      <c r="B3" s="85"/>
      <c r="C3" s="85"/>
      <c r="D3" s="88"/>
      <c r="E3" s="85"/>
      <c r="F3" s="85"/>
      <c r="G3" s="85"/>
      <c r="H3" s="85"/>
      <c r="I3" s="85"/>
      <c r="J3" s="85"/>
      <c r="K3" s="85"/>
      <c r="L3" s="85"/>
      <c r="M3" s="91"/>
      <c r="N3" s="17"/>
    </row>
    <row r="4" spans="1:14" ht="12.75">
      <c r="A4" s="92" t="s">
        <v>1</v>
      </c>
      <c r="B4" s="85"/>
      <c r="C4" s="85"/>
      <c r="D4" s="93" t="str">
        <f>'Stavební rozpočet'!D4</f>
        <v xml:space="preserve"> </v>
      </c>
      <c r="E4" s="95" t="s">
        <v>3</v>
      </c>
      <c r="F4" s="85"/>
      <c r="G4" s="93" t="str">
        <f>'Stavební rozpočet'!G4</f>
        <v>08.11.2021</v>
      </c>
      <c r="H4" s="93" t="s">
        <v>33</v>
      </c>
      <c r="I4" s="93" t="str">
        <f>'Stavební rozpočet'!I4</f>
        <v>hProjekce - Libor Horák</v>
      </c>
      <c r="J4" s="85"/>
      <c r="K4" s="85"/>
      <c r="L4" s="85"/>
      <c r="M4" s="91"/>
      <c r="N4" s="17"/>
    </row>
    <row r="5" spans="1:14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91"/>
      <c r="N5" s="17"/>
    </row>
    <row r="6" spans="1:14" ht="12.75">
      <c r="A6" s="92" t="s">
        <v>2</v>
      </c>
      <c r="B6" s="85"/>
      <c r="C6" s="85"/>
      <c r="D6" s="93" t="str">
        <f>'Stavební rozpočet'!D6</f>
        <v>Krnov</v>
      </c>
      <c r="E6" s="95" t="s">
        <v>35</v>
      </c>
      <c r="F6" s="85"/>
      <c r="G6" s="93" t="str">
        <f>'Stavební rozpočet'!G6</f>
        <v xml:space="preserve"> </v>
      </c>
      <c r="H6" s="93" t="s">
        <v>34</v>
      </c>
      <c r="I6" s="93" t="str">
        <f>'Stavební rozpočet'!I6</f>
        <v> </v>
      </c>
      <c r="J6" s="85"/>
      <c r="K6" s="85"/>
      <c r="L6" s="85"/>
      <c r="M6" s="91"/>
      <c r="N6" s="17"/>
    </row>
    <row r="7" spans="1:14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91"/>
      <c r="N7" s="17"/>
    </row>
    <row r="8" spans="1:14" ht="12.75">
      <c r="A8" s="92" t="s">
        <v>4</v>
      </c>
      <c r="B8" s="85"/>
      <c r="C8" s="85"/>
      <c r="D8" s="93" t="str">
        <f>'Stavební rozpočet'!D8</f>
        <v xml:space="preserve"> </v>
      </c>
      <c r="E8" s="95" t="s">
        <v>73</v>
      </c>
      <c r="F8" s="85"/>
      <c r="G8" s="93" t="str">
        <f>'Stavební rozpočet'!G8</f>
        <v>08.11.2021</v>
      </c>
      <c r="H8" s="93" t="s">
        <v>36</v>
      </c>
      <c r="I8" s="93" t="str">
        <f>'Stavební rozpočet'!I8</f>
        <v> </v>
      </c>
      <c r="J8" s="85"/>
      <c r="K8" s="85"/>
      <c r="L8" s="85"/>
      <c r="M8" s="91"/>
      <c r="N8" s="17"/>
    </row>
    <row r="9" spans="1:14" ht="12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  <c r="N9" s="17"/>
    </row>
    <row r="10" spans="1:64" ht="12.75">
      <c r="A10" s="34" t="s">
        <v>79</v>
      </c>
      <c r="B10" s="41" t="s">
        <v>60</v>
      </c>
      <c r="C10" s="41" t="s">
        <v>263</v>
      </c>
      <c r="D10" s="134" t="s">
        <v>430</v>
      </c>
      <c r="E10" s="135"/>
      <c r="F10" s="135"/>
      <c r="G10" s="135"/>
      <c r="H10" s="135"/>
      <c r="I10" s="136"/>
      <c r="J10" s="41" t="s">
        <v>967</v>
      </c>
      <c r="K10" s="52" t="s">
        <v>978</v>
      </c>
      <c r="L10" s="55" t="s">
        <v>979</v>
      </c>
      <c r="M10" s="26" t="s">
        <v>75</v>
      </c>
      <c r="N10" s="18"/>
      <c r="BK10" s="58" t="s">
        <v>1045</v>
      </c>
      <c r="BL10" s="62" t="s">
        <v>1048</v>
      </c>
    </row>
    <row r="11" spans="1:62" ht="12.75">
      <c r="A11" s="35" t="s">
        <v>59</v>
      </c>
      <c r="B11" s="42" t="s">
        <v>59</v>
      </c>
      <c r="C11" s="42" t="s">
        <v>59</v>
      </c>
      <c r="D11" s="127" t="s">
        <v>431</v>
      </c>
      <c r="E11" s="128"/>
      <c r="F11" s="128"/>
      <c r="G11" s="128"/>
      <c r="H11" s="128"/>
      <c r="I11" s="129"/>
      <c r="J11" s="42" t="s">
        <v>59</v>
      </c>
      <c r="K11" s="42" t="s">
        <v>59</v>
      </c>
      <c r="L11" s="56" t="s">
        <v>980</v>
      </c>
      <c r="M11" s="27" t="s">
        <v>76</v>
      </c>
      <c r="N11" s="18"/>
      <c r="Z11" s="58" t="s">
        <v>981</v>
      </c>
      <c r="AA11" s="58" t="s">
        <v>982</v>
      </c>
      <c r="AB11" s="58" t="s">
        <v>983</v>
      </c>
      <c r="AC11" s="58" t="s">
        <v>984</v>
      </c>
      <c r="AD11" s="58" t="s">
        <v>985</v>
      </c>
      <c r="AE11" s="58" t="s">
        <v>986</v>
      </c>
      <c r="AF11" s="58" t="s">
        <v>987</v>
      </c>
      <c r="AG11" s="58" t="s">
        <v>988</v>
      </c>
      <c r="AH11" s="58" t="s">
        <v>989</v>
      </c>
      <c r="BH11" s="58" t="s">
        <v>1042</v>
      </c>
      <c r="BI11" s="58" t="s">
        <v>1043</v>
      </c>
      <c r="BJ11" s="58" t="s">
        <v>1044</v>
      </c>
    </row>
    <row r="12" spans="1:14" ht="12.75">
      <c r="A12" s="36"/>
      <c r="B12" s="43" t="s">
        <v>65</v>
      </c>
      <c r="C12" s="43"/>
      <c r="D12" s="137" t="s">
        <v>71</v>
      </c>
      <c r="E12" s="138"/>
      <c r="F12" s="138"/>
      <c r="G12" s="138"/>
      <c r="H12" s="138"/>
      <c r="I12" s="138"/>
      <c r="J12" s="49" t="s">
        <v>59</v>
      </c>
      <c r="K12" s="49" t="s">
        <v>59</v>
      </c>
      <c r="L12" s="49" t="s">
        <v>59</v>
      </c>
      <c r="M12" s="63">
        <f>M13</f>
        <v>0</v>
      </c>
      <c r="N12" s="17"/>
    </row>
    <row r="13" spans="1:47" ht="12.75">
      <c r="A13" s="37"/>
      <c r="B13" s="44" t="s">
        <v>65</v>
      </c>
      <c r="C13" s="44" t="s">
        <v>417</v>
      </c>
      <c r="D13" s="139" t="s">
        <v>953</v>
      </c>
      <c r="E13" s="140"/>
      <c r="F13" s="140"/>
      <c r="G13" s="140"/>
      <c r="H13" s="140"/>
      <c r="I13" s="140"/>
      <c r="J13" s="50" t="s">
        <v>59</v>
      </c>
      <c r="K13" s="50" t="s">
        <v>59</v>
      </c>
      <c r="L13" s="50" t="s">
        <v>59</v>
      </c>
      <c r="M13" s="64">
        <f>SUM(M14:M33)</f>
        <v>0</v>
      </c>
      <c r="N13" s="17"/>
      <c r="AI13" s="58" t="s">
        <v>65</v>
      </c>
      <c r="AS13" s="68">
        <f>SUM(AJ14:AJ33)</f>
        <v>0</v>
      </c>
      <c r="AT13" s="68">
        <f>SUM(AK14:AK33)</f>
        <v>0</v>
      </c>
      <c r="AU13" s="68">
        <f>SUM(AL14:AL33)</f>
        <v>0</v>
      </c>
    </row>
    <row r="14" spans="1:64" ht="12.75">
      <c r="A14" s="38" t="s">
        <v>80</v>
      </c>
      <c r="B14" s="45" t="s">
        <v>65</v>
      </c>
      <c r="C14" s="45" t="s">
        <v>418</v>
      </c>
      <c r="D14" s="141" t="s">
        <v>39</v>
      </c>
      <c r="E14" s="142"/>
      <c r="F14" s="142"/>
      <c r="G14" s="142"/>
      <c r="H14" s="142"/>
      <c r="I14" s="142"/>
      <c r="J14" s="45" t="s">
        <v>976</v>
      </c>
      <c r="K14" s="74">
        <f>'Stavební rozpočet'!K701</f>
        <v>1</v>
      </c>
      <c r="L14" s="53">
        <f>'Stavební rozpočet'!L701</f>
        <v>0</v>
      </c>
      <c r="M14" s="65">
        <f>K14*L14</f>
        <v>0</v>
      </c>
      <c r="N14" s="17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58" t="s">
        <v>65</v>
      </c>
      <c r="AJ14" s="53">
        <f>IF(AN14=0,M14,0)</f>
        <v>0</v>
      </c>
      <c r="AK14" s="53">
        <f>IF(AN14=15,M14,0)</f>
        <v>0</v>
      </c>
      <c r="AL14" s="53">
        <f>IF(AN14=21,M14,0)</f>
        <v>0</v>
      </c>
      <c r="AN14" s="33">
        <v>21</v>
      </c>
      <c r="AO14" s="33">
        <f>L14*0</f>
        <v>0</v>
      </c>
      <c r="AP14" s="33">
        <f>L14*(1-0)</f>
        <v>0</v>
      </c>
      <c r="AQ14" s="59" t="s">
        <v>80</v>
      </c>
      <c r="AV14" s="33">
        <f>AW14+AX14</f>
        <v>0</v>
      </c>
      <c r="AW14" s="33">
        <f>K14*AO14</f>
        <v>0</v>
      </c>
      <c r="AX14" s="33">
        <f>K14*AP14</f>
        <v>0</v>
      </c>
      <c r="AY14" s="61" t="s">
        <v>1017</v>
      </c>
      <c r="AZ14" s="61" t="s">
        <v>1036</v>
      </c>
      <c r="BA14" s="58" t="s">
        <v>1041</v>
      </c>
      <c r="BC14" s="33">
        <f>AW14+AX14</f>
        <v>0</v>
      </c>
      <c r="BD14" s="33">
        <f>L14/(100-BE14)*100</f>
        <v>0</v>
      </c>
      <c r="BE14" s="33">
        <v>0</v>
      </c>
      <c r="BF14" s="33">
        <f>14</f>
        <v>14</v>
      </c>
      <c r="BH14" s="53">
        <f>K14*AO14</f>
        <v>0</v>
      </c>
      <c r="BI14" s="53">
        <f>K14*AP14</f>
        <v>0</v>
      </c>
      <c r="BJ14" s="53">
        <f>K14*L14</f>
        <v>0</v>
      </c>
      <c r="BK14" s="53" t="s">
        <v>1046</v>
      </c>
      <c r="BL14" s="33">
        <v>0</v>
      </c>
    </row>
    <row r="15" spans="1:14" ht="12.75">
      <c r="A15" s="17"/>
      <c r="D15" s="143" t="s">
        <v>663</v>
      </c>
      <c r="E15" s="144"/>
      <c r="F15" s="144"/>
      <c r="G15" s="144"/>
      <c r="H15" s="144"/>
      <c r="I15" s="144"/>
      <c r="K15" s="75">
        <v>1</v>
      </c>
      <c r="M15" s="14"/>
      <c r="N15" s="17"/>
    </row>
    <row r="16" spans="1:64" ht="12.75">
      <c r="A16" s="38" t="s">
        <v>81</v>
      </c>
      <c r="B16" s="45" t="s">
        <v>65</v>
      </c>
      <c r="C16" s="45" t="s">
        <v>419</v>
      </c>
      <c r="D16" s="141" t="s">
        <v>954</v>
      </c>
      <c r="E16" s="142"/>
      <c r="F16" s="142"/>
      <c r="G16" s="142"/>
      <c r="H16" s="142"/>
      <c r="I16" s="142"/>
      <c r="J16" s="45" t="s">
        <v>976</v>
      </c>
      <c r="K16" s="74">
        <f>'Stavební rozpočet'!K703</f>
        <v>1</v>
      </c>
      <c r="L16" s="53">
        <f>'Stavební rozpočet'!L703</f>
        <v>0</v>
      </c>
      <c r="M16" s="65">
        <f>K16*L16</f>
        <v>0</v>
      </c>
      <c r="N16" s="17"/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58" t="s">
        <v>65</v>
      </c>
      <c r="AJ16" s="53">
        <f>IF(AN16=0,M16,0)</f>
        <v>0</v>
      </c>
      <c r="AK16" s="53">
        <f>IF(AN16=15,M16,0)</f>
        <v>0</v>
      </c>
      <c r="AL16" s="53">
        <f>IF(AN16=21,M16,0)</f>
        <v>0</v>
      </c>
      <c r="AN16" s="33">
        <v>21</v>
      </c>
      <c r="AO16" s="33">
        <f>L16*0</f>
        <v>0</v>
      </c>
      <c r="AP16" s="33">
        <f>L16*(1-0)</f>
        <v>0</v>
      </c>
      <c r="AQ16" s="59" t="s">
        <v>80</v>
      </c>
      <c r="AV16" s="33">
        <f>AW16+AX16</f>
        <v>0</v>
      </c>
      <c r="AW16" s="33">
        <f>K16*AO16</f>
        <v>0</v>
      </c>
      <c r="AX16" s="33">
        <f>K16*AP16</f>
        <v>0</v>
      </c>
      <c r="AY16" s="61" t="s">
        <v>1017</v>
      </c>
      <c r="AZ16" s="61" t="s">
        <v>1036</v>
      </c>
      <c r="BA16" s="58" t="s">
        <v>1041</v>
      </c>
      <c r="BC16" s="33">
        <f>AW16+AX16</f>
        <v>0</v>
      </c>
      <c r="BD16" s="33">
        <f>L16/(100-BE16)*100</f>
        <v>0</v>
      </c>
      <c r="BE16" s="33">
        <v>0</v>
      </c>
      <c r="BF16" s="33">
        <f>16</f>
        <v>16</v>
      </c>
      <c r="BH16" s="53">
        <f>K16*AO16</f>
        <v>0</v>
      </c>
      <c r="BI16" s="53">
        <f>K16*AP16</f>
        <v>0</v>
      </c>
      <c r="BJ16" s="53">
        <f>K16*L16</f>
        <v>0</v>
      </c>
      <c r="BK16" s="53" t="s">
        <v>1046</v>
      </c>
      <c r="BL16" s="33">
        <v>0</v>
      </c>
    </row>
    <row r="17" spans="1:14" ht="12.75">
      <c r="A17" s="17"/>
      <c r="D17" s="143" t="s">
        <v>663</v>
      </c>
      <c r="E17" s="144"/>
      <c r="F17" s="144"/>
      <c r="G17" s="144"/>
      <c r="H17" s="144"/>
      <c r="I17" s="144"/>
      <c r="K17" s="75">
        <v>1</v>
      </c>
      <c r="M17" s="14"/>
      <c r="N17" s="17"/>
    </row>
    <row r="18" spans="1:64" ht="12.75">
      <c r="A18" s="38" t="s">
        <v>82</v>
      </c>
      <c r="B18" s="45" t="s">
        <v>65</v>
      </c>
      <c r="C18" s="45" t="s">
        <v>420</v>
      </c>
      <c r="D18" s="141" t="s">
        <v>955</v>
      </c>
      <c r="E18" s="142"/>
      <c r="F18" s="142"/>
      <c r="G18" s="142"/>
      <c r="H18" s="142"/>
      <c r="I18" s="142"/>
      <c r="J18" s="45" t="s">
        <v>976</v>
      </c>
      <c r="K18" s="74">
        <f>'Stavební rozpočet'!K705</f>
        <v>1</v>
      </c>
      <c r="L18" s="53">
        <f>'Stavební rozpočet'!L705</f>
        <v>0</v>
      </c>
      <c r="M18" s="65">
        <f>K18*L18</f>
        <v>0</v>
      </c>
      <c r="N18" s="17"/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58" t="s">
        <v>65</v>
      </c>
      <c r="AJ18" s="53">
        <f>IF(AN18=0,M18,0)</f>
        <v>0</v>
      </c>
      <c r="AK18" s="53">
        <f>IF(AN18=15,M18,0)</f>
        <v>0</v>
      </c>
      <c r="AL18" s="53">
        <f>IF(AN18=21,M18,0)</f>
        <v>0</v>
      </c>
      <c r="AN18" s="33">
        <v>21</v>
      </c>
      <c r="AO18" s="33">
        <f>L18*0</f>
        <v>0</v>
      </c>
      <c r="AP18" s="33">
        <f>L18*(1-0)</f>
        <v>0</v>
      </c>
      <c r="AQ18" s="59" t="s">
        <v>80</v>
      </c>
      <c r="AV18" s="33">
        <f>AW18+AX18</f>
        <v>0</v>
      </c>
      <c r="AW18" s="33">
        <f>K18*AO18</f>
        <v>0</v>
      </c>
      <c r="AX18" s="33">
        <f>K18*AP18</f>
        <v>0</v>
      </c>
      <c r="AY18" s="61" t="s">
        <v>1017</v>
      </c>
      <c r="AZ18" s="61" t="s">
        <v>1036</v>
      </c>
      <c r="BA18" s="58" t="s">
        <v>1041</v>
      </c>
      <c r="BC18" s="33">
        <f>AW18+AX18</f>
        <v>0</v>
      </c>
      <c r="BD18" s="33">
        <f>L18/(100-BE18)*100</f>
        <v>0</v>
      </c>
      <c r="BE18" s="33">
        <v>0</v>
      </c>
      <c r="BF18" s="33">
        <f>18</f>
        <v>18</v>
      </c>
      <c r="BH18" s="53">
        <f>K18*AO18</f>
        <v>0</v>
      </c>
      <c r="BI18" s="53">
        <f>K18*AP18</f>
        <v>0</v>
      </c>
      <c r="BJ18" s="53">
        <f>K18*L18</f>
        <v>0</v>
      </c>
      <c r="BK18" s="53" t="s">
        <v>1046</v>
      </c>
      <c r="BL18" s="33">
        <v>0</v>
      </c>
    </row>
    <row r="19" spans="1:14" ht="12.75">
      <c r="A19" s="17"/>
      <c r="D19" s="143" t="s">
        <v>663</v>
      </c>
      <c r="E19" s="144"/>
      <c r="F19" s="144"/>
      <c r="G19" s="144"/>
      <c r="H19" s="144"/>
      <c r="I19" s="144"/>
      <c r="K19" s="75">
        <v>1</v>
      </c>
      <c r="M19" s="14"/>
      <c r="N19" s="17"/>
    </row>
    <row r="20" spans="1:64" ht="12.75">
      <c r="A20" s="38" t="s">
        <v>83</v>
      </c>
      <c r="B20" s="45" t="s">
        <v>65</v>
      </c>
      <c r="C20" s="45" t="s">
        <v>421</v>
      </c>
      <c r="D20" s="141" t="s">
        <v>956</v>
      </c>
      <c r="E20" s="142"/>
      <c r="F20" s="142"/>
      <c r="G20" s="142"/>
      <c r="H20" s="142"/>
      <c r="I20" s="142"/>
      <c r="J20" s="45" t="s">
        <v>976</v>
      </c>
      <c r="K20" s="74">
        <f>'Stavební rozpočet'!K707</f>
        <v>1</v>
      </c>
      <c r="L20" s="53">
        <f>'Stavební rozpočet'!L707</f>
        <v>0</v>
      </c>
      <c r="M20" s="65">
        <f>K20*L20</f>
        <v>0</v>
      </c>
      <c r="N20" s="17"/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58" t="s">
        <v>65</v>
      </c>
      <c r="AJ20" s="53">
        <f>IF(AN20=0,M20,0)</f>
        <v>0</v>
      </c>
      <c r="AK20" s="53">
        <f>IF(AN20=15,M20,0)</f>
        <v>0</v>
      </c>
      <c r="AL20" s="53">
        <f>IF(AN20=21,M20,0)</f>
        <v>0</v>
      </c>
      <c r="AN20" s="33">
        <v>21</v>
      </c>
      <c r="AO20" s="33">
        <f>L20*0</f>
        <v>0</v>
      </c>
      <c r="AP20" s="33">
        <f>L20*(1-0)</f>
        <v>0</v>
      </c>
      <c r="AQ20" s="59" t="s">
        <v>80</v>
      </c>
      <c r="AV20" s="33">
        <f>AW20+AX20</f>
        <v>0</v>
      </c>
      <c r="AW20" s="33">
        <f>K20*AO20</f>
        <v>0</v>
      </c>
      <c r="AX20" s="33">
        <f>K20*AP20</f>
        <v>0</v>
      </c>
      <c r="AY20" s="61" t="s">
        <v>1017</v>
      </c>
      <c r="AZ20" s="61" t="s">
        <v>1036</v>
      </c>
      <c r="BA20" s="58" t="s">
        <v>1041</v>
      </c>
      <c r="BC20" s="33">
        <f>AW20+AX20</f>
        <v>0</v>
      </c>
      <c r="BD20" s="33">
        <f>L20/(100-BE20)*100</f>
        <v>0</v>
      </c>
      <c r="BE20" s="33">
        <v>0</v>
      </c>
      <c r="BF20" s="33">
        <f>20</f>
        <v>20</v>
      </c>
      <c r="BH20" s="53">
        <f>K20*AO20</f>
        <v>0</v>
      </c>
      <c r="BI20" s="53">
        <f>K20*AP20</f>
        <v>0</v>
      </c>
      <c r="BJ20" s="53">
        <f>K20*L20</f>
        <v>0</v>
      </c>
      <c r="BK20" s="53" t="s">
        <v>1046</v>
      </c>
      <c r="BL20" s="33">
        <v>0</v>
      </c>
    </row>
    <row r="21" spans="1:14" ht="12.75">
      <c r="A21" s="17"/>
      <c r="D21" s="143" t="s">
        <v>663</v>
      </c>
      <c r="E21" s="144"/>
      <c r="F21" s="144"/>
      <c r="G21" s="144"/>
      <c r="H21" s="144"/>
      <c r="I21" s="144"/>
      <c r="K21" s="75">
        <v>1</v>
      </c>
      <c r="M21" s="14"/>
      <c r="N21" s="17"/>
    </row>
    <row r="22" spans="1:64" ht="12.75">
      <c r="A22" s="38" t="s">
        <v>84</v>
      </c>
      <c r="B22" s="45" t="s">
        <v>65</v>
      </c>
      <c r="C22" s="45" t="s">
        <v>422</v>
      </c>
      <c r="D22" s="141" t="s">
        <v>957</v>
      </c>
      <c r="E22" s="142"/>
      <c r="F22" s="142"/>
      <c r="G22" s="142"/>
      <c r="H22" s="142"/>
      <c r="I22" s="142"/>
      <c r="J22" s="45" t="s">
        <v>976</v>
      </c>
      <c r="K22" s="74">
        <f>'Stavební rozpočet'!K709</f>
        <v>1</v>
      </c>
      <c r="L22" s="53">
        <f>'Stavební rozpočet'!L709</f>
        <v>0</v>
      </c>
      <c r="M22" s="65">
        <f>K22*L22</f>
        <v>0</v>
      </c>
      <c r="N22" s="17"/>
      <c r="Z22" s="33">
        <f>IF(AQ22="5",BJ22,0)</f>
        <v>0</v>
      </c>
      <c r="AB22" s="33">
        <f>IF(AQ22="1",BH22,0)</f>
        <v>0</v>
      </c>
      <c r="AC22" s="33">
        <f>IF(AQ22="1",BI22,0)</f>
        <v>0</v>
      </c>
      <c r="AD22" s="33">
        <f>IF(AQ22="7",BH22,0)</f>
        <v>0</v>
      </c>
      <c r="AE22" s="33">
        <f>IF(AQ22="7",BI22,0)</f>
        <v>0</v>
      </c>
      <c r="AF22" s="33">
        <f>IF(AQ22="2",BH22,0)</f>
        <v>0</v>
      </c>
      <c r="AG22" s="33">
        <f>IF(AQ22="2",BI22,0)</f>
        <v>0</v>
      </c>
      <c r="AH22" s="33">
        <f>IF(AQ22="0",BJ22,0)</f>
        <v>0</v>
      </c>
      <c r="AI22" s="58" t="s">
        <v>65</v>
      </c>
      <c r="AJ22" s="53">
        <f>IF(AN22=0,M22,0)</f>
        <v>0</v>
      </c>
      <c r="AK22" s="53">
        <f>IF(AN22=15,M22,0)</f>
        <v>0</v>
      </c>
      <c r="AL22" s="53">
        <f>IF(AN22=21,M22,0)</f>
        <v>0</v>
      </c>
      <c r="AN22" s="33">
        <v>21</v>
      </c>
      <c r="AO22" s="33">
        <f>L22*0</f>
        <v>0</v>
      </c>
      <c r="AP22" s="33">
        <f>L22*(1-0)</f>
        <v>0</v>
      </c>
      <c r="AQ22" s="59" t="s">
        <v>80</v>
      </c>
      <c r="AV22" s="33">
        <f>AW22+AX22</f>
        <v>0</v>
      </c>
      <c r="AW22" s="33">
        <f>K22*AO22</f>
        <v>0</v>
      </c>
      <c r="AX22" s="33">
        <f>K22*AP22</f>
        <v>0</v>
      </c>
      <c r="AY22" s="61" t="s">
        <v>1017</v>
      </c>
      <c r="AZ22" s="61" t="s">
        <v>1036</v>
      </c>
      <c r="BA22" s="58" t="s">
        <v>1041</v>
      </c>
      <c r="BC22" s="33">
        <f>AW22+AX22</f>
        <v>0</v>
      </c>
      <c r="BD22" s="33">
        <f>L22/(100-BE22)*100</f>
        <v>0</v>
      </c>
      <c r="BE22" s="33">
        <v>0</v>
      </c>
      <c r="BF22" s="33">
        <f>22</f>
        <v>22</v>
      </c>
      <c r="BH22" s="53">
        <f>K22*AO22</f>
        <v>0</v>
      </c>
      <c r="BI22" s="53">
        <f>K22*AP22</f>
        <v>0</v>
      </c>
      <c r="BJ22" s="53">
        <f>K22*L22</f>
        <v>0</v>
      </c>
      <c r="BK22" s="53" t="s">
        <v>1046</v>
      </c>
      <c r="BL22" s="33">
        <v>0</v>
      </c>
    </row>
    <row r="23" spans="1:14" ht="12.75">
      <c r="A23" s="17"/>
      <c r="D23" s="143" t="s">
        <v>663</v>
      </c>
      <c r="E23" s="144"/>
      <c r="F23" s="144"/>
      <c r="G23" s="144"/>
      <c r="H23" s="144"/>
      <c r="I23" s="144"/>
      <c r="K23" s="75">
        <v>1</v>
      </c>
      <c r="M23" s="14"/>
      <c r="N23" s="17"/>
    </row>
    <row r="24" spans="1:64" ht="12.75">
      <c r="A24" s="38" t="s">
        <v>85</v>
      </c>
      <c r="B24" s="45" t="s">
        <v>65</v>
      </c>
      <c r="C24" s="45" t="s">
        <v>423</v>
      </c>
      <c r="D24" s="141" t="s">
        <v>958</v>
      </c>
      <c r="E24" s="142"/>
      <c r="F24" s="142"/>
      <c r="G24" s="142"/>
      <c r="H24" s="142"/>
      <c r="I24" s="142"/>
      <c r="J24" s="45" t="s">
        <v>976</v>
      </c>
      <c r="K24" s="74">
        <f>'Stavební rozpočet'!K711</f>
        <v>1</v>
      </c>
      <c r="L24" s="53">
        <f>'Stavební rozpočet'!L711</f>
        <v>0</v>
      </c>
      <c r="M24" s="65">
        <f>K24*L24</f>
        <v>0</v>
      </c>
      <c r="N24" s="17"/>
      <c r="Z24" s="33">
        <f>IF(AQ24="5",BJ24,0)</f>
        <v>0</v>
      </c>
      <c r="AB24" s="33">
        <f>IF(AQ24="1",BH24,0)</f>
        <v>0</v>
      </c>
      <c r="AC24" s="33">
        <f>IF(AQ24="1",BI24,0)</f>
        <v>0</v>
      </c>
      <c r="AD24" s="33">
        <f>IF(AQ24="7",BH24,0)</f>
        <v>0</v>
      </c>
      <c r="AE24" s="33">
        <f>IF(AQ24="7",BI24,0)</f>
        <v>0</v>
      </c>
      <c r="AF24" s="33">
        <f>IF(AQ24="2",BH24,0)</f>
        <v>0</v>
      </c>
      <c r="AG24" s="33">
        <f>IF(AQ24="2",BI24,0)</f>
        <v>0</v>
      </c>
      <c r="AH24" s="33">
        <f>IF(AQ24="0",BJ24,0)</f>
        <v>0</v>
      </c>
      <c r="AI24" s="58" t="s">
        <v>65</v>
      </c>
      <c r="AJ24" s="53">
        <f>IF(AN24=0,M24,0)</f>
        <v>0</v>
      </c>
      <c r="AK24" s="53">
        <f>IF(AN24=15,M24,0)</f>
        <v>0</v>
      </c>
      <c r="AL24" s="53">
        <f>IF(AN24=21,M24,0)</f>
        <v>0</v>
      </c>
      <c r="AN24" s="33">
        <v>21</v>
      </c>
      <c r="AO24" s="33">
        <f>L24*0</f>
        <v>0</v>
      </c>
      <c r="AP24" s="33">
        <f>L24*(1-0)</f>
        <v>0</v>
      </c>
      <c r="AQ24" s="59" t="s">
        <v>80</v>
      </c>
      <c r="AV24" s="33">
        <f>AW24+AX24</f>
        <v>0</v>
      </c>
      <c r="AW24" s="33">
        <f>K24*AO24</f>
        <v>0</v>
      </c>
      <c r="AX24" s="33">
        <f>K24*AP24</f>
        <v>0</v>
      </c>
      <c r="AY24" s="61" t="s">
        <v>1017</v>
      </c>
      <c r="AZ24" s="61" t="s">
        <v>1036</v>
      </c>
      <c r="BA24" s="58" t="s">
        <v>1041</v>
      </c>
      <c r="BC24" s="33">
        <f>AW24+AX24</f>
        <v>0</v>
      </c>
      <c r="BD24" s="33">
        <f>L24/(100-BE24)*100</f>
        <v>0</v>
      </c>
      <c r="BE24" s="33">
        <v>0</v>
      </c>
      <c r="BF24" s="33">
        <f>24</f>
        <v>24</v>
      </c>
      <c r="BH24" s="53">
        <f>K24*AO24</f>
        <v>0</v>
      </c>
      <c r="BI24" s="53">
        <f>K24*AP24</f>
        <v>0</v>
      </c>
      <c r="BJ24" s="53">
        <f>K24*L24</f>
        <v>0</v>
      </c>
      <c r="BK24" s="53" t="s">
        <v>1046</v>
      </c>
      <c r="BL24" s="33">
        <v>0</v>
      </c>
    </row>
    <row r="25" spans="1:14" ht="12.75">
      <c r="A25" s="17"/>
      <c r="D25" s="143" t="s">
        <v>663</v>
      </c>
      <c r="E25" s="144"/>
      <c r="F25" s="144"/>
      <c r="G25" s="144"/>
      <c r="H25" s="144"/>
      <c r="I25" s="144"/>
      <c r="K25" s="75">
        <v>1</v>
      </c>
      <c r="M25" s="14"/>
      <c r="N25" s="17"/>
    </row>
    <row r="26" spans="1:64" ht="12.75">
      <c r="A26" s="38" t="s">
        <v>86</v>
      </c>
      <c r="B26" s="45" t="s">
        <v>65</v>
      </c>
      <c r="C26" s="45" t="s">
        <v>424</v>
      </c>
      <c r="D26" s="141" t="s">
        <v>959</v>
      </c>
      <c r="E26" s="142"/>
      <c r="F26" s="142"/>
      <c r="G26" s="142"/>
      <c r="H26" s="142"/>
      <c r="I26" s="142"/>
      <c r="J26" s="45" t="s">
        <v>976</v>
      </c>
      <c r="K26" s="74">
        <f>'Stavební rozpočet'!K713</f>
        <v>1</v>
      </c>
      <c r="L26" s="53">
        <f>'Stavební rozpočet'!L713</f>
        <v>0</v>
      </c>
      <c r="M26" s="65">
        <f>K26*L26</f>
        <v>0</v>
      </c>
      <c r="N26" s="17"/>
      <c r="Z26" s="33">
        <f>IF(AQ26="5",BJ26,0)</f>
        <v>0</v>
      </c>
      <c r="AB26" s="33">
        <f>IF(AQ26="1",BH26,0)</f>
        <v>0</v>
      </c>
      <c r="AC26" s="33">
        <f>IF(AQ26="1",BI26,0)</f>
        <v>0</v>
      </c>
      <c r="AD26" s="33">
        <f>IF(AQ26="7",BH26,0)</f>
        <v>0</v>
      </c>
      <c r="AE26" s="33">
        <f>IF(AQ26="7",BI26,0)</f>
        <v>0</v>
      </c>
      <c r="AF26" s="33">
        <f>IF(AQ26="2",BH26,0)</f>
        <v>0</v>
      </c>
      <c r="AG26" s="33">
        <f>IF(AQ26="2",BI26,0)</f>
        <v>0</v>
      </c>
      <c r="AH26" s="33">
        <f>IF(AQ26="0",BJ26,0)</f>
        <v>0</v>
      </c>
      <c r="AI26" s="58" t="s">
        <v>65</v>
      </c>
      <c r="AJ26" s="53">
        <f>IF(AN26=0,M26,0)</f>
        <v>0</v>
      </c>
      <c r="AK26" s="53">
        <f>IF(AN26=15,M26,0)</f>
        <v>0</v>
      </c>
      <c r="AL26" s="53">
        <f>IF(AN26=21,M26,0)</f>
        <v>0</v>
      </c>
      <c r="AN26" s="33">
        <v>21</v>
      </c>
      <c r="AO26" s="33">
        <f>L26*0</f>
        <v>0</v>
      </c>
      <c r="AP26" s="33">
        <f>L26*(1-0)</f>
        <v>0</v>
      </c>
      <c r="AQ26" s="59" t="s">
        <v>80</v>
      </c>
      <c r="AV26" s="33">
        <f>AW26+AX26</f>
        <v>0</v>
      </c>
      <c r="AW26" s="33">
        <f>K26*AO26</f>
        <v>0</v>
      </c>
      <c r="AX26" s="33">
        <f>K26*AP26</f>
        <v>0</v>
      </c>
      <c r="AY26" s="61" t="s">
        <v>1017</v>
      </c>
      <c r="AZ26" s="61" t="s">
        <v>1036</v>
      </c>
      <c r="BA26" s="58" t="s">
        <v>1041</v>
      </c>
      <c r="BC26" s="33">
        <f>AW26+AX26</f>
        <v>0</v>
      </c>
      <c r="BD26" s="33">
        <f>L26/(100-BE26)*100</f>
        <v>0</v>
      </c>
      <c r="BE26" s="33">
        <v>0</v>
      </c>
      <c r="BF26" s="33">
        <f>26</f>
        <v>26</v>
      </c>
      <c r="BH26" s="53">
        <f>K26*AO26</f>
        <v>0</v>
      </c>
      <c r="BI26" s="53">
        <f>K26*AP26</f>
        <v>0</v>
      </c>
      <c r="BJ26" s="53">
        <f>K26*L26</f>
        <v>0</v>
      </c>
      <c r="BK26" s="53" t="s">
        <v>1046</v>
      </c>
      <c r="BL26" s="33">
        <v>0</v>
      </c>
    </row>
    <row r="27" spans="1:14" ht="12.75">
      <c r="A27" s="17"/>
      <c r="D27" s="143" t="s">
        <v>663</v>
      </c>
      <c r="E27" s="144"/>
      <c r="F27" s="144"/>
      <c r="G27" s="144"/>
      <c r="H27" s="144"/>
      <c r="I27" s="144"/>
      <c r="K27" s="75">
        <v>1</v>
      </c>
      <c r="M27" s="14"/>
      <c r="N27" s="17"/>
    </row>
    <row r="28" spans="1:64" ht="12.75">
      <c r="A28" s="38" t="s">
        <v>87</v>
      </c>
      <c r="B28" s="45" t="s">
        <v>65</v>
      </c>
      <c r="C28" s="45" t="s">
        <v>425</v>
      </c>
      <c r="D28" s="141" t="s">
        <v>960</v>
      </c>
      <c r="E28" s="142"/>
      <c r="F28" s="142"/>
      <c r="G28" s="142"/>
      <c r="H28" s="142"/>
      <c r="I28" s="142"/>
      <c r="J28" s="45" t="s">
        <v>971</v>
      </c>
      <c r="K28" s="74">
        <f>'Stavební rozpočet'!K715</f>
        <v>6</v>
      </c>
      <c r="L28" s="53">
        <f>'Stavební rozpočet'!L715</f>
        <v>0</v>
      </c>
      <c r="M28" s="65">
        <f>K28*L28</f>
        <v>0</v>
      </c>
      <c r="N28" s="17"/>
      <c r="Z28" s="33">
        <f>IF(AQ28="5",BJ28,0)</f>
        <v>0</v>
      </c>
      <c r="AB28" s="33">
        <f>IF(AQ28="1",BH28,0)</f>
        <v>0</v>
      </c>
      <c r="AC28" s="33">
        <f>IF(AQ28="1",BI28,0)</f>
        <v>0</v>
      </c>
      <c r="AD28" s="33">
        <f>IF(AQ28="7",BH28,0)</f>
        <v>0</v>
      </c>
      <c r="AE28" s="33">
        <f>IF(AQ28="7",BI28,0)</f>
        <v>0</v>
      </c>
      <c r="AF28" s="33">
        <f>IF(AQ28="2",BH28,0)</f>
        <v>0</v>
      </c>
      <c r="AG28" s="33">
        <f>IF(AQ28="2",BI28,0)</f>
        <v>0</v>
      </c>
      <c r="AH28" s="33">
        <f>IF(AQ28="0",BJ28,0)</f>
        <v>0</v>
      </c>
      <c r="AI28" s="58" t="s">
        <v>65</v>
      </c>
      <c r="AJ28" s="53">
        <f>IF(AN28=0,M28,0)</f>
        <v>0</v>
      </c>
      <c r="AK28" s="53">
        <f>IF(AN28=15,M28,0)</f>
        <v>0</v>
      </c>
      <c r="AL28" s="53">
        <f>IF(AN28=21,M28,0)</f>
        <v>0</v>
      </c>
      <c r="AN28" s="33">
        <v>21</v>
      </c>
      <c r="AO28" s="33">
        <f>L28*0</f>
        <v>0</v>
      </c>
      <c r="AP28" s="33">
        <f>L28*(1-0)</f>
        <v>0</v>
      </c>
      <c r="AQ28" s="59" t="s">
        <v>80</v>
      </c>
      <c r="AV28" s="33">
        <f>AW28+AX28</f>
        <v>0</v>
      </c>
      <c r="AW28" s="33">
        <f>K28*AO28</f>
        <v>0</v>
      </c>
      <c r="AX28" s="33">
        <f>K28*AP28</f>
        <v>0</v>
      </c>
      <c r="AY28" s="61" t="s">
        <v>1017</v>
      </c>
      <c r="AZ28" s="61" t="s">
        <v>1036</v>
      </c>
      <c r="BA28" s="58" t="s">
        <v>1041</v>
      </c>
      <c r="BC28" s="33">
        <f>AW28+AX28</f>
        <v>0</v>
      </c>
      <c r="BD28" s="33">
        <f>L28/(100-BE28)*100</f>
        <v>0</v>
      </c>
      <c r="BE28" s="33">
        <v>0</v>
      </c>
      <c r="BF28" s="33">
        <f>28</f>
        <v>28</v>
      </c>
      <c r="BH28" s="53">
        <f>K28*AO28</f>
        <v>0</v>
      </c>
      <c r="BI28" s="53">
        <f>K28*AP28</f>
        <v>0</v>
      </c>
      <c r="BJ28" s="53">
        <f>K28*L28</f>
        <v>0</v>
      </c>
      <c r="BK28" s="53" t="s">
        <v>1046</v>
      </c>
      <c r="BL28" s="33">
        <v>0</v>
      </c>
    </row>
    <row r="29" spans="1:14" ht="12.75">
      <c r="A29" s="17"/>
      <c r="D29" s="143" t="s">
        <v>642</v>
      </c>
      <c r="E29" s="144"/>
      <c r="F29" s="144"/>
      <c r="G29" s="144"/>
      <c r="H29" s="144"/>
      <c r="I29" s="144"/>
      <c r="K29" s="75">
        <v>6</v>
      </c>
      <c r="M29" s="14"/>
      <c r="N29" s="17"/>
    </row>
    <row r="30" spans="1:64" ht="12.75">
      <c r="A30" s="38" t="s">
        <v>88</v>
      </c>
      <c r="B30" s="45" t="s">
        <v>65</v>
      </c>
      <c r="C30" s="45" t="s">
        <v>426</v>
      </c>
      <c r="D30" s="141" t="s">
        <v>961</v>
      </c>
      <c r="E30" s="142"/>
      <c r="F30" s="142"/>
      <c r="G30" s="142"/>
      <c r="H30" s="142"/>
      <c r="I30" s="142"/>
      <c r="J30" s="45" t="s">
        <v>976</v>
      </c>
      <c r="K30" s="74">
        <f>'Stavební rozpočet'!K717</f>
        <v>1</v>
      </c>
      <c r="L30" s="53">
        <f>'Stavební rozpočet'!L717</f>
        <v>0</v>
      </c>
      <c r="M30" s="65">
        <f>K30*L30</f>
        <v>0</v>
      </c>
      <c r="N30" s="17"/>
      <c r="Z30" s="33">
        <f>IF(AQ30="5",BJ30,0)</f>
        <v>0</v>
      </c>
      <c r="AB30" s="33">
        <f>IF(AQ30="1",BH30,0)</f>
        <v>0</v>
      </c>
      <c r="AC30" s="33">
        <f>IF(AQ30="1",BI30,0)</f>
        <v>0</v>
      </c>
      <c r="AD30" s="33">
        <f>IF(AQ30="7",BH30,0)</f>
        <v>0</v>
      </c>
      <c r="AE30" s="33">
        <f>IF(AQ30="7",BI30,0)</f>
        <v>0</v>
      </c>
      <c r="AF30" s="33">
        <f>IF(AQ30="2",BH30,0)</f>
        <v>0</v>
      </c>
      <c r="AG30" s="33">
        <f>IF(AQ30="2",BI30,0)</f>
        <v>0</v>
      </c>
      <c r="AH30" s="33">
        <f>IF(AQ30="0",BJ30,0)</f>
        <v>0</v>
      </c>
      <c r="AI30" s="58" t="s">
        <v>65</v>
      </c>
      <c r="AJ30" s="53">
        <f>IF(AN30=0,M30,0)</f>
        <v>0</v>
      </c>
      <c r="AK30" s="53">
        <f>IF(AN30=15,M30,0)</f>
        <v>0</v>
      </c>
      <c r="AL30" s="53">
        <f>IF(AN30=21,M30,0)</f>
        <v>0</v>
      </c>
      <c r="AN30" s="33">
        <v>21</v>
      </c>
      <c r="AO30" s="33">
        <f>L30*0</f>
        <v>0</v>
      </c>
      <c r="AP30" s="33">
        <f>L30*(1-0)</f>
        <v>0</v>
      </c>
      <c r="AQ30" s="59" t="s">
        <v>80</v>
      </c>
      <c r="AV30" s="33">
        <f>AW30+AX30</f>
        <v>0</v>
      </c>
      <c r="AW30" s="33">
        <f>K30*AO30</f>
        <v>0</v>
      </c>
      <c r="AX30" s="33">
        <f>K30*AP30</f>
        <v>0</v>
      </c>
      <c r="AY30" s="61" t="s">
        <v>1017</v>
      </c>
      <c r="AZ30" s="61" t="s">
        <v>1036</v>
      </c>
      <c r="BA30" s="58" t="s">
        <v>1041</v>
      </c>
      <c r="BC30" s="33">
        <f>AW30+AX30</f>
        <v>0</v>
      </c>
      <c r="BD30" s="33">
        <f>L30/(100-BE30)*100</f>
        <v>0</v>
      </c>
      <c r="BE30" s="33">
        <v>0</v>
      </c>
      <c r="BF30" s="33">
        <f>30</f>
        <v>30</v>
      </c>
      <c r="BH30" s="53">
        <f>K30*AO30</f>
        <v>0</v>
      </c>
      <c r="BI30" s="53">
        <f>K30*AP30</f>
        <v>0</v>
      </c>
      <c r="BJ30" s="53">
        <f>K30*L30</f>
        <v>0</v>
      </c>
      <c r="BK30" s="53" t="s">
        <v>1046</v>
      </c>
      <c r="BL30" s="33">
        <v>0</v>
      </c>
    </row>
    <row r="31" spans="1:14" ht="12.75">
      <c r="A31" s="17"/>
      <c r="C31" s="48" t="s">
        <v>269</v>
      </c>
      <c r="D31" s="145" t="s">
        <v>962</v>
      </c>
      <c r="E31" s="146"/>
      <c r="F31" s="146"/>
      <c r="G31" s="146"/>
      <c r="H31" s="146"/>
      <c r="I31" s="146"/>
      <c r="J31" s="146"/>
      <c r="K31" s="146"/>
      <c r="L31" s="146"/>
      <c r="M31" s="147"/>
      <c r="N31" s="17"/>
    </row>
    <row r="32" spans="1:14" ht="12.75">
      <c r="A32" s="17"/>
      <c r="D32" s="143" t="s">
        <v>663</v>
      </c>
      <c r="E32" s="144"/>
      <c r="F32" s="144"/>
      <c r="G32" s="144"/>
      <c r="H32" s="144"/>
      <c r="I32" s="144"/>
      <c r="K32" s="75">
        <v>1</v>
      </c>
      <c r="M32" s="14"/>
      <c r="N32" s="17"/>
    </row>
    <row r="33" spans="1:64" ht="12.75">
      <c r="A33" s="38" t="s">
        <v>89</v>
      </c>
      <c r="B33" s="45" t="s">
        <v>65</v>
      </c>
      <c r="C33" s="45" t="s">
        <v>427</v>
      </c>
      <c r="D33" s="141" t="s">
        <v>963</v>
      </c>
      <c r="E33" s="142"/>
      <c r="F33" s="142"/>
      <c r="G33" s="142"/>
      <c r="H33" s="142"/>
      <c r="I33" s="142"/>
      <c r="J33" s="45" t="s">
        <v>976</v>
      </c>
      <c r="K33" s="74">
        <f>'Stavební rozpočet'!K720</f>
        <v>1</v>
      </c>
      <c r="L33" s="53">
        <f>'Stavební rozpočet'!L720</f>
        <v>0</v>
      </c>
      <c r="M33" s="65">
        <f>K33*L33</f>
        <v>0</v>
      </c>
      <c r="N33" s="17"/>
      <c r="Z33" s="33">
        <f>IF(AQ33="5",BJ33,0)</f>
        <v>0</v>
      </c>
      <c r="AB33" s="33">
        <f>IF(AQ33="1",BH33,0)</f>
        <v>0</v>
      </c>
      <c r="AC33" s="33">
        <f>IF(AQ33="1",BI33,0)</f>
        <v>0</v>
      </c>
      <c r="AD33" s="33">
        <f>IF(AQ33="7",BH33,0)</f>
        <v>0</v>
      </c>
      <c r="AE33" s="33">
        <f>IF(AQ33="7",BI33,0)</f>
        <v>0</v>
      </c>
      <c r="AF33" s="33">
        <f>IF(AQ33="2",BH33,0)</f>
        <v>0</v>
      </c>
      <c r="AG33" s="33">
        <f>IF(AQ33="2",BI33,0)</f>
        <v>0</v>
      </c>
      <c r="AH33" s="33">
        <f>IF(AQ33="0",BJ33,0)</f>
        <v>0</v>
      </c>
      <c r="AI33" s="58" t="s">
        <v>65</v>
      </c>
      <c r="AJ33" s="53">
        <f>IF(AN33=0,M33,0)</f>
        <v>0</v>
      </c>
      <c r="AK33" s="53">
        <f>IF(AN33=15,M33,0)</f>
        <v>0</v>
      </c>
      <c r="AL33" s="53">
        <f>IF(AN33=21,M33,0)</f>
        <v>0</v>
      </c>
      <c r="AN33" s="33">
        <v>21</v>
      </c>
      <c r="AO33" s="33">
        <f>L33*0</f>
        <v>0</v>
      </c>
      <c r="AP33" s="33">
        <f>L33*(1-0)</f>
        <v>0</v>
      </c>
      <c r="AQ33" s="59" t="s">
        <v>80</v>
      </c>
      <c r="AV33" s="33">
        <f>AW33+AX33</f>
        <v>0</v>
      </c>
      <c r="AW33" s="33">
        <f>K33*AO33</f>
        <v>0</v>
      </c>
      <c r="AX33" s="33">
        <f>K33*AP33</f>
        <v>0</v>
      </c>
      <c r="AY33" s="61" t="s">
        <v>1017</v>
      </c>
      <c r="AZ33" s="61" t="s">
        <v>1036</v>
      </c>
      <c r="BA33" s="58" t="s">
        <v>1041</v>
      </c>
      <c r="BC33" s="33">
        <f>AW33+AX33</f>
        <v>0</v>
      </c>
      <c r="BD33" s="33">
        <f>L33/(100-BE33)*100</f>
        <v>0</v>
      </c>
      <c r="BE33" s="33">
        <v>0</v>
      </c>
      <c r="BF33" s="33">
        <f>33</f>
        <v>33</v>
      </c>
      <c r="BH33" s="53">
        <f>K33*AO33</f>
        <v>0</v>
      </c>
      <c r="BI33" s="53">
        <f>K33*AP33</f>
        <v>0</v>
      </c>
      <c r="BJ33" s="53">
        <f>K33*L33</f>
        <v>0</v>
      </c>
      <c r="BK33" s="53" t="s">
        <v>1046</v>
      </c>
      <c r="BL33" s="33">
        <v>0</v>
      </c>
    </row>
    <row r="34" spans="1:14" ht="12.75">
      <c r="A34" s="11"/>
      <c r="B34" s="1"/>
      <c r="C34" s="1"/>
      <c r="D34" s="152" t="s">
        <v>663</v>
      </c>
      <c r="E34" s="153"/>
      <c r="F34" s="153"/>
      <c r="G34" s="153"/>
      <c r="H34" s="153"/>
      <c r="I34" s="153"/>
      <c r="J34" s="1"/>
      <c r="K34" s="76">
        <v>1</v>
      </c>
      <c r="L34" s="1"/>
      <c r="M34" s="57"/>
      <c r="N34" s="17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32">
        <f>ROUND(M13,1)</f>
        <v>0</v>
      </c>
    </row>
    <row r="36" ht="11.25" customHeight="1">
      <c r="A36" s="25" t="s">
        <v>18</v>
      </c>
    </row>
    <row r="37" spans="1:13" ht="12.75">
      <c r="A37" s="93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</sheetData>
  <mergeCells count="51">
    <mergeCell ref="D34:I34"/>
    <mergeCell ref="A37:M37"/>
    <mergeCell ref="D28:I28"/>
    <mergeCell ref="D29:I29"/>
    <mergeCell ref="D30:I30"/>
    <mergeCell ref="D31:M31"/>
    <mergeCell ref="D32:I32"/>
    <mergeCell ref="D33:I33"/>
    <mergeCell ref="D22:I22"/>
    <mergeCell ref="D23:I23"/>
    <mergeCell ref="D24:I24"/>
    <mergeCell ref="D25:I25"/>
    <mergeCell ref="D26:I26"/>
    <mergeCell ref="D27:I27"/>
    <mergeCell ref="D16:I16"/>
    <mergeCell ref="D17:I17"/>
    <mergeCell ref="D18:I18"/>
    <mergeCell ref="D19:I19"/>
    <mergeCell ref="D20:I20"/>
    <mergeCell ref="D21:I21"/>
    <mergeCell ref="D10:I10"/>
    <mergeCell ref="D11:I11"/>
    <mergeCell ref="D12:I12"/>
    <mergeCell ref="D13:I13"/>
    <mergeCell ref="D14:I14"/>
    <mergeCell ref="D15:I15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 topLeftCell="A1">
      <pane ySplit="11" topLeftCell="A12" activePane="bottomLeft" state="frozen"/>
      <selection pane="bottomLeft" activeCell="A1" sqref="A1:L1"/>
    </sheetView>
  </sheetViews>
  <sheetFormatPr defaultColWidth="11.57421875" defaultRowHeight="12.75"/>
  <cols>
    <col min="1" max="1" width="7.57421875" style="0" customWidth="1"/>
    <col min="2" max="11" width="15.7109375" style="0" customWidth="1"/>
    <col min="12" max="12" width="14.28125" style="0" customWidth="1"/>
    <col min="13" max="16" width="12.140625" style="0" hidden="1" customWidth="1"/>
  </cols>
  <sheetData>
    <row r="1" spans="1:12" ht="72.95" customHeight="1">
      <c r="A1" s="119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ht="12.75">
      <c r="A2" s="82" t="s">
        <v>0</v>
      </c>
      <c r="B2" s="83"/>
      <c r="C2" s="83"/>
      <c r="D2" s="86" t="str">
        <f>'Stavební rozpočet'!D2</f>
        <v>Rekonstrukce kanalizace a zpevněných ploch Hlavní náměstí 9-12; Krnov</v>
      </c>
      <c r="E2" s="87"/>
      <c r="F2" s="87"/>
      <c r="G2" s="89" t="s">
        <v>72</v>
      </c>
      <c r="H2" s="89" t="str">
        <f>'Stavební rozpočet'!G2</f>
        <v xml:space="preserve"> </v>
      </c>
      <c r="I2" s="89" t="s">
        <v>32</v>
      </c>
      <c r="J2" s="89" t="str">
        <f>'Stavební rozpočet'!I2</f>
        <v> </v>
      </c>
      <c r="K2" s="83"/>
      <c r="L2" s="120"/>
      <c r="M2" s="17"/>
    </row>
    <row r="3" spans="1:13" ht="64.15" customHeight="1">
      <c r="A3" s="84"/>
      <c r="B3" s="85"/>
      <c r="C3" s="85"/>
      <c r="D3" s="88"/>
      <c r="E3" s="88"/>
      <c r="F3" s="88"/>
      <c r="G3" s="85"/>
      <c r="H3" s="85"/>
      <c r="I3" s="85"/>
      <c r="J3" s="85"/>
      <c r="K3" s="85"/>
      <c r="L3" s="91"/>
      <c r="M3" s="17"/>
    </row>
    <row r="4" spans="1:13" ht="12.75">
      <c r="A4" s="92" t="s">
        <v>1</v>
      </c>
      <c r="B4" s="85"/>
      <c r="C4" s="85"/>
      <c r="D4" s="93" t="str">
        <f>'Stavební rozpočet'!D4</f>
        <v xml:space="preserve"> </v>
      </c>
      <c r="E4" s="85"/>
      <c r="F4" s="85"/>
      <c r="G4" s="93" t="s">
        <v>3</v>
      </c>
      <c r="H4" s="93" t="str">
        <f>'Stavební rozpočet'!G4</f>
        <v>08.11.2021</v>
      </c>
      <c r="I4" s="93" t="s">
        <v>33</v>
      </c>
      <c r="J4" s="93" t="str">
        <f>'Stavební rozpočet'!I4</f>
        <v>hProjekce - Libor Horák</v>
      </c>
      <c r="K4" s="85"/>
      <c r="L4" s="91"/>
      <c r="M4" s="17"/>
    </row>
    <row r="5" spans="1:13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91"/>
      <c r="M5" s="17"/>
    </row>
    <row r="6" spans="1:13" ht="12.75">
      <c r="A6" s="92" t="s">
        <v>2</v>
      </c>
      <c r="B6" s="85"/>
      <c r="C6" s="85"/>
      <c r="D6" s="93" t="str">
        <f>'Stavební rozpočet'!D6</f>
        <v>Krnov</v>
      </c>
      <c r="E6" s="85"/>
      <c r="F6" s="85"/>
      <c r="G6" s="93" t="s">
        <v>35</v>
      </c>
      <c r="H6" s="93" t="str">
        <f>'Stavební rozpočet'!G6</f>
        <v xml:space="preserve"> </v>
      </c>
      <c r="I6" s="93" t="s">
        <v>34</v>
      </c>
      <c r="J6" s="93" t="str">
        <f>'Stavební rozpočet'!I6</f>
        <v> </v>
      </c>
      <c r="K6" s="85"/>
      <c r="L6" s="91"/>
      <c r="M6" s="17"/>
    </row>
    <row r="7" spans="1:13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91"/>
      <c r="M7" s="17"/>
    </row>
    <row r="8" spans="1:13" ht="12.75">
      <c r="A8" s="92" t="s">
        <v>4</v>
      </c>
      <c r="B8" s="85"/>
      <c r="C8" s="85"/>
      <c r="D8" s="93" t="str">
        <f>'Stavební rozpočet'!D8</f>
        <v xml:space="preserve"> </v>
      </c>
      <c r="E8" s="85"/>
      <c r="F8" s="85"/>
      <c r="G8" s="93" t="s">
        <v>73</v>
      </c>
      <c r="H8" s="93" t="str">
        <f>'Stavební rozpočet'!G8</f>
        <v>08.11.2021</v>
      </c>
      <c r="I8" s="93" t="s">
        <v>36</v>
      </c>
      <c r="J8" s="93" t="str">
        <f>'Stavební rozpočet'!I8</f>
        <v> </v>
      </c>
      <c r="K8" s="85"/>
      <c r="L8" s="91"/>
      <c r="M8" s="17"/>
    </row>
    <row r="9" spans="1:13" ht="12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3"/>
      <c r="M9" s="17"/>
    </row>
    <row r="10" spans="1:13" ht="12.75">
      <c r="A10" s="20" t="s">
        <v>59</v>
      </c>
      <c r="B10" s="124" t="s">
        <v>59</v>
      </c>
      <c r="C10" s="125"/>
      <c r="D10" s="125"/>
      <c r="E10" s="125"/>
      <c r="F10" s="125"/>
      <c r="G10" s="125"/>
      <c r="H10" s="125"/>
      <c r="I10" s="125"/>
      <c r="J10" s="125"/>
      <c r="K10" s="126"/>
      <c r="L10" s="26" t="s">
        <v>75</v>
      </c>
      <c r="M10" s="18"/>
    </row>
    <row r="11" spans="1:13" ht="12.75">
      <c r="A11" s="21" t="s">
        <v>60</v>
      </c>
      <c r="B11" s="127" t="s">
        <v>66</v>
      </c>
      <c r="C11" s="128"/>
      <c r="D11" s="128"/>
      <c r="E11" s="128"/>
      <c r="F11" s="128"/>
      <c r="G11" s="128"/>
      <c r="H11" s="128"/>
      <c r="I11" s="128"/>
      <c r="J11" s="128"/>
      <c r="K11" s="129"/>
      <c r="L11" s="27" t="s">
        <v>76</v>
      </c>
      <c r="M11" s="18"/>
    </row>
    <row r="12" spans="1:16" ht="12.75">
      <c r="A12" s="22" t="s">
        <v>61</v>
      </c>
      <c r="B12" s="130" t="s">
        <v>67</v>
      </c>
      <c r="C12" s="125"/>
      <c r="D12" s="125"/>
      <c r="E12" s="125"/>
      <c r="F12" s="125"/>
      <c r="G12" s="125"/>
      <c r="H12" s="125"/>
      <c r="I12" s="125"/>
      <c r="J12" s="125"/>
      <c r="K12" s="125"/>
      <c r="L12" s="29">
        <f>'Stavební rozpočet'!M12</f>
        <v>0</v>
      </c>
      <c r="M12" s="28" t="s">
        <v>77</v>
      </c>
      <c r="N12" s="33">
        <f>IF(M12="F",0,L12)</f>
        <v>0</v>
      </c>
      <c r="O12" s="15" t="s">
        <v>61</v>
      </c>
      <c r="P12" s="33">
        <f>IF(M12="T",0,L12)</f>
        <v>0</v>
      </c>
    </row>
    <row r="13" spans="1:16" ht="12.75">
      <c r="A13" s="23" t="s">
        <v>62</v>
      </c>
      <c r="B13" s="95" t="s">
        <v>68</v>
      </c>
      <c r="C13" s="85"/>
      <c r="D13" s="85"/>
      <c r="E13" s="85"/>
      <c r="F13" s="85"/>
      <c r="G13" s="85"/>
      <c r="H13" s="85"/>
      <c r="I13" s="85"/>
      <c r="J13" s="85"/>
      <c r="K13" s="85"/>
      <c r="L13" s="30">
        <f>'Stavební rozpočet'!M470</f>
        <v>0</v>
      </c>
      <c r="M13" s="28" t="s">
        <v>77</v>
      </c>
      <c r="N13" s="33">
        <f>IF(M13="F",0,L13)</f>
        <v>0</v>
      </c>
      <c r="O13" s="15" t="s">
        <v>62</v>
      </c>
      <c r="P13" s="33">
        <f>IF(M13="T",0,L13)</f>
        <v>0</v>
      </c>
    </row>
    <row r="14" spans="1:16" ht="12.75">
      <c r="A14" s="23" t="s">
        <v>63</v>
      </c>
      <c r="B14" s="95" t="s">
        <v>69</v>
      </c>
      <c r="C14" s="85"/>
      <c r="D14" s="85"/>
      <c r="E14" s="85"/>
      <c r="F14" s="85"/>
      <c r="G14" s="85"/>
      <c r="H14" s="85"/>
      <c r="I14" s="85"/>
      <c r="J14" s="85"/>
      <c r="K14" s="85"/>
      <c r="L14" s="30">
        <f>'Stavební rozpočet'!M541</f>
        <v>0</v>
      </c>
      <c r="M14" s="28" t="s">
        <v>77</v>
      </c>
      <c r="N14" s="33">
        <f>IF(M14="F",0,L14)</f>
        <v>0</v>
      </c>
      <c r="O14" s="15" t="s">
        <v>63</v>
      </c>
      <c r="P14" s="33">
        <f>IF(M14="T",0,L14)</f>
        <v>0</v>
      </c>
    </row>
    <row r="15" spans="1:16" ht="12.75">
      <c r="A15" s="23" t="s">
        <v>64</v>
      </c>
      <c r="B15" s="95" t="s">
        <v>70</v>
      </c>
      <c r="C15" s="85"/>
      <c r="D15" s="85"/>
      <c r="E15" s="85"/>
      <c r="F15" s="85"/>
      <c r="G15" s="85"/>
      <c r="H15" s="85"/>
      <c r="I15" s="85"/>
      <c r="J15" s="85"/>
      <c r="K15" s="85"/>
      <c r="L15" s="30">
        <f>'Stavební rozpočet'!M643</f>
        <v>0</v>
      </c>
      <c r="M15" s="28" t="s">
        <v>77</v>
      </c>
      <c r="N15" s="33">
        <f>IF(M15="F",0,L15)</f>
        <v>0</v>
      </c>
      <c r="O15" s="15" t="s">
        <v>64</v>
      </c>
      <c r="P15" s="33">
        <f>IF(M15="T",0,L15)</f>
        <v>0</v>
      </c>
    </row>
    <row r="16" spans="1:16" ht="12.75">
      <c r="A16" s="24" t="s">
        <v>65</v>
      </c>
      <c r="B16" s="131" t="s">
        <v>71</v>
      </c>
      <c r="C16" s="97"/>
      <c r="D16" s="97"/>
      <c r="E16" s="97"/>
      <c r="F16" s="97"/>
      <c r="G16" s="97"/>
      <c r="H16" s="97"/>
      <c r="I16" s="97"/>
      <c r="J16" s="97"/>
      <c r="K16" s="97"/>
      <c r="L16" s="31">
        <f>'Stavební rozpočet'!M699</f>
        <v>0</v>
      </c>
      <c r="M16" s="28" t="s">
        <v>77</v>
      </c>
      <c r="N16" s="33">
        <f>IF(M16="F",0,L16)</f>
        <v>0</v>
      </c>
      <c r="O16" s="15" t="s">
        <v>65</v>
      </c>
      <c r="P16" s="33">
        <f>IF(M16="T",0,L16)</f>
        <v>0</v>
      </c>
    </row>
    <row r="17" spans="1:12" ht="12.75">
      <c r="A17" s="5"/>
      <c r="B17" s="5"/>
      <c r="C17" s="5"/>
      <c r="D17" s="5"/>
      <c r="E17" s="5"/>
      <c r="F17" s="5"/>
      <c r="G17" s="5"/>
      <c r="H17" s="5"/>
      <c r="I17" s="5"/>
      <c r="J17" s="132" t="s">
        <v>74</v>
      </c>
      <c r="K17" s="87"/>
      <c r="L17" s="32">
        <f>ROUND(SUM(P12:P16),1)</f>
        <v>0</v>
      </c>
    </row>
    <row r="18" ht="11.25" customHeight="1">
      <c r="A18" s="25" t="s">
        <v>18</v>
      </c>
    </row>
    <row r="19" spans="1:12" ht="12.75">
      <c r="A19" s="93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</sheetData>
  <mergeCells count="34">
    <mergeCell ref="B16:K16"/>
    <mergeCell ref="J17:K17"/>
    <mergeCell ref="A19:L19"/>
    <mergeCell ref="B10:K10"/>
    <mergeCell ref="B11:K11"/>
    <mergeCell ref="B12:K12"/>
    <mergeCell ref="B13:K13"/>
    <mergeCell ref="B14:K14"/>
    <mergeCell ref="B15:K15"/>
    <mergeCell ref="A8:C9"/>
    <mergeCell ref="D8:F9"/>
    <mergeCell ref="G8:G9"/>
    <mergeCell ref="H8:H9"/>
    <mergeCell ref="I8:I9"/>
    <mergeCell ref="J8:L9"/>
    <mergeCell ref="A6:C7"/>
    <mergeCell ref="D6:F7"/>
    <mergeCell ref="G6:G7"/>
    <mergeCell ref="H6:H7"/>
    <mergeCell ref="I6:I7"/>
    <mergeCell ref="J6:L7"/>
    <mergeCell ref="A4:C5"/>
    <mergeCell ref="D4:F5"/>
    <mergeCell ref="G4:G5"/>
    <mergeCell ref="H4:H5"/>
    <mergeCell ref="I4:I5"/>
    <mergeCell ref="J4:L5"/>
    <mergeCell ref="A1:L1"/>
    <mergeCell ref="A2:C3"/>
    <mergeCell ref="D2:F3"/>
    <mergeCell ref="G2:G3"/>
    <mergeCell ref="H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24"/>
  <sheetViews>
    <sheetView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65.57421875" style="0" customWidth="1"/>
    <col min="10" max="10" width="4.28125" style="0" customWidth="1"/>
    <col min="11" max="11" width="12.8515625" style="0" customWidth="1"/>
    <col min="12" max="12" width="12.00390625" style="0" customWidth="1"/>
    <col min="13" max="13" width="14.28125" style="0" customWidth="1"/>
    <col min="25" max="64" width="12.140625" style="0" hidden="1" customWidth="1"/>
  </cols>
  <sheetData>
    <row r="1" spans="1:13" ht="72.95" customHeight="1">
      <c r="A1" s="119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12.75">
      <c r="A2" s="82" t="s">
        <v>0</v>
      </c>
      <c r="B2" s="83"/>
      <c r="C2" s="83"/>
      <c r="D2" s="86" t="s">
        <v>428</v>
      </c>
      <c r="E2" s="133" t="s">
        <v>72</v>
      </c>
      <c r="F2" s="83"/>
      <c r="G2" s="133" t="s">
        <v>59</v>
      </c>
      <c r="H2" s="89" t="s">
        <v>32</v>
      </c>
      <c r="I2" s="133" t="s">
        <v>965</v>
      </c>
      <c r="J2" s="83"/>
      <c r="K2" s="83"/>
      <c r="L2" s="83"/>
      <c r="M2" s="120"/>
      <c r="N2" s="17"/>
    </row>
    <row r="3" spans="1:14" ht="12.75">
      <c r="A3" s="84"/>
      <c r="B3" s="85"/>
      <c r="C3" s="85"/>
      <c r="D3" s="88"/>
      <c r="E3" s="85"/>
      <c r="F3" s="85"/>
      <c r="G3" s="85"/>
      <c r="H3" s="85"/>
      <c r="I3" s="85"/>
      <c r="J3" s="85"/>
      <c r="K3" s="85"/>
      <c r="L3" s="85"/>
      <c r="M3" s="91"/>
      <c r="N3" s="17"/>
    </row>
    <row r="4" spans="1:14" ht="12.75">
      <c r="A4" s="92" t="s">
        <v>1</v>
      </c>
      <c r="B4" s="85"/>
      <c r="C4" s="85"/>
      <c r="D4" s="93" t="s">
        <v>59</v>
      </c>
      <c r="E4" s="95" t="s">
        <v>3</v>
      </c>
      <c r="F4" s="85"/>
      <c r="G4" s="95" t="s">
        <v>964</v>
      </c>
      <c r="H4" s="93" t="s">
        <v>33</v>
      </c>
      <c r="I4" s="93" t="s">
        <v>966</v>
      </c>
      <c r="J4" s="85"/>
      <c r="K4" s="85"/>
      <c r="L4" s="85"/>
      <c r="M4" s="91"/>
      <c r="N4" s="17"/>
    </row>
    <row r="5" spans="1:14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91"/>
      <c r="N5" s="17"/>
    </row>
    <row r="6" spans="1:14" ht="12.75">
      <c r="A6" s="92" t="s">
        <v>2</v>
      </c>
      <c r="B6" s="85"/>
      <c r="C6" s="85"/>
      <c r="D6" s="93" t="s">
        <v>429</v>
      </c>
      <c r="E6" s="95" t="s">
        <v>35</v>
      </c>
      <c r="F6" s="85"/>
      <c r="G6" s="95" t="s">
        <v>59</v>
      </c>
      <c r="H6" s="93" t="s">
        <v>34</v>
      </c>
      <c r="I6" s="95" t="s">
        <v>965</v>
      </c>
      <c r="J6" s="85"/>
      <c r="K6" s="85"/>
      <c r="L6" s="85"/>
      <c r="M6" s="91"/>
      <c r="N6" s="17"/>
    </row>
    <row r="7" spans="1:14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91"/>
      <c r="N7" s="17"/>
    </row>
    <row r="8" spans="1:14" ht="12.75">
      <c r="A8" s="92" t="s">
        <v>4</v>
      </c>
      <c r="B8" s="85"/>
      <c r="C8" s="85"/>
      <c r="D8" s="93" t="s">
        <v>59</v>
      </c>
      <c r="E8" s="95" t="s">
        <v>73</v>
      </c>
      <c r="F8" s="85"/>
      <c r="G8" s="95" t="s">
        <v>964</v>
      </c>
      <c r="H8" s="93" t="s">
        <v>36</v>
      </c>
      <c r="I8" s="95" t="s">
        <v>965</v>
      </c>
      <c r="J8" s="85"/>
      <c r="K8" s="85"/>
      <c r="L8" s="85"/>
      <c r="M8" s="91"/>
      <c r="N8" s="17"/>
    </row>
    <row r="9" spans="1:14" ht="12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  <c r="N9" s="17"/>
    </row>
    <row r="10" spans="1:64" ht="12.75">
      <c r="A10" s="34" t="s">
        <v>79</v>
      </c>
      <c r="B10" s="41" t="s">
        <v>60</v>
      </c>
      <c r="C10" s="41" t="s">
        <v>263</v>
      </c>
      <c r="D10" s="134" t="s">
        <v>430</v>
      </c>
      <c r="E10" s="135"/>
      <c r="F10" s="135"/>
      <c r="G10" s="135"/>
      <c r="H10" s="135"/>
      <c r="I10" s="136"/>
      <c r="J10" s="41" t="s">
        <v>967</v>
      </c>
      <c r="K10" s="52" t="s">
        <v>978</v>
      </c>
      <c r="L10" s="55" t="s">
        <v>979</v>
      </c>
      <c r="M10" s="26" t="s">
        <v>75</v>
      </c>
      <c r="N10" s="18"/>
      <c r="BK10" s="58" t="s">
        <v>1045</v>
      </c>
      <c r="BL10" s="62" t="s">
        <v>1048</v>
      </c>
    </row>
    <row r="11" spans="1:62" ht="12.75">
      <c r="A11" s="35" t="s">
        <v>59</v>
      </c>
      <c r="B11" s="42" t="s">
        <v>59</v>
      </c>
      <c r="C11" s="42" t="s">
        <v>59</v>
      </c>
      <c r="D11" s="127" t="s">
        <v>431</v>
      </c>
      <c r="E11" s="128"/>
      <c r="F11" s="128"/>
      <c r="G11" s="128"/>
      <c r="H11" s="128"/>
      <c r="I11" s="129"/>
      <c r="J11" s="42" t="s">
        <v>59</v>
      </c>
      <c r="K11" s="42" t="s">
        <v>59</v>
      </c>
      <c r="L11" s="56" t="s">
        <v>980</v>
      </c>
      <c r="M11" s="27" t="s">
        <v>76</v>
      </c>
      <c r="N11" s="18"/>
      <c r="Z11" s="58" t="s">
        <v>981</v>
      </c>
      <c r="AA11" s="58" t="s">
        <v>982</v>
      </c>
      <c r="AB11" s="58" t="s">
        <v>983</v>
      </c>
      <c r="AC11" s="58" t="s">
        <v>984</v>
      </c>
      <c r="AD11" s="58" t="s">
        <v>985</v>
      </c>
      <c r="AE11" s="58" t="s">
        <v>986</v>
      </c>
      <c r="AF11" s="58" t="s">
        <v>987</v>
      </c>
      <c r="AG11" s="58" t="s">
        <v>988</v>
      </c>
      <c r="AH11" s="58" t="s">
        <v>989</v>
      </c>
      <c r="BH11" s="58" t="s">
        <v>1042</v>
      </c>
      <c r="BI11" s="58" t="s">
        <v>1043</v>
      </c>
      <c r="BJ11" s="58" t="s">
        <v>1044</v>
      </c>
    </row>
    <row r="12" spans="1:14" ht="12.75">
      <c r="A12" s="36"/>
      <c r="B12" s="43" t="s">
        <v>61</v>
      </c>
      <c r="C12" s="43"/>
      <c r="D12" s="137" t="s">
        <v>67</v>
      </c>
      <c r="E12" s="138"/>
      <c r="F12" s="138"/>
      <c r="G12" s="138"/>
      <c r="H12" s="138"/>
      <c r="I12" s="138"/>
      <c r="J12" s="49" t="s">
        <v>59</v>
      </c>
      <c r="K12" s="49" t="s">
        <v>59</v>
      </c>
      <c r="L12" s="49" t="s">
        <v>59</v>
      </c>
      <c r="M12" s="63">
        <f>M13+M48+M93+M110+M115+M175+M178+M181+M194+M200+M221+M226+M229+M259+M329+M398+M403+M408+M421+M438+M450+M453+M468</f>
        <v>0</v>
      </c>
      <c r="N12" s="17"/>
    </row>
    <row r="13" spans="1:47" ht="12.75">
      <c r="A13" s="37"/>
      <c r="B13" s="44" t="s">
        <v>61</v>
      </c>
      <c r="C13" s="44" t="s">
        <v>90</v>
      </c>
      <c r="D13" s="139" t="s">
        <v>432</v>
      </c>
      <c r="E13" s="140"/>
      <c r="F13" s="140"/>
      <c r="G13" s="140"/>
      <c r="H13" s="140"/>
      <c r="I13" s="140"/>
      <c r="J13" s="50" t="s">
        <v>59</v>
      </c>
      <c r="K13" s="50" t="s">
        <v>59</v>
      </c>
      <c r="L13" s="50" t="s">
        <v>59</v>
      </c>
      <c r="M13" s="64">
        <f>SUM(M14:M46)</f>
        <v>0</v>
      </c>
      <c r="N13" s="17"/>
      <c r="AI13" s="58" t="s">
        <v>61</v>
      </c>
      <c r="AS13" s="68">
        <f>SUM(AJ14:AJ46)</f>
        <v>0</v>
      </c>
      <c r="AT13" s="68">
        <f>SUM(AK14:AK46)</f>
        <v>0</v>
      </c>
      <c r="AU13" s="68">
        <f>SUM(AL14:AL46)</f>
        <v>0</v>
      </c>
    </row>
    <row r="14" spans="1:64" ht="12.75">
      <c r="A14" s="38" t="s">
        <v>80</v>
      </c>
      <c r="B14" s="45" t="s">
        <v>61</v>
      </c>
      <c r="C14" s="45" t="s">
        <v>264</v>
      </c>
      <c r="D14" s="141" t="s">
        <v>433</v>
      </c>
      <c r="E14" s="142"/>
      <c r="F14" s="142"/>
      <c r="G14" s="142"/>
      <c r="H14" s="142"/>
      <c r="I14" s="142"/>
      <c r="J14" s="45" t="s">
        <v>968</v>
      </c>
      <c r="K14" s="74">
        <v>14.4</v>
      </c>
      <c r="L14" s="53">
        <v>0</v>
      </c>
      <c r="M14" s="65">
        <f>K14*L14</f>
        <v>0</v>
      </c>
      <c r="N14" s="17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58" t="s">
        <v>61</v>
      </c>
      <c r="AJ14" s="53">
        <f>IF(AN14=0,M14,0)</f>
        <v>0</v>
      </c>
      <c r="AK14" s="53">
        <f>IF(AN14=15,M14,0)</f>
        <v>0</v>
      </c>
      <c r="AL14" s="53">
        <f>IF(AN14=21,M14,0)</f>
        <v>0</v>
      </c>
      <c r="AN14" s="33">
        <v>21</v>
      </c>
      <c r="AO14" s="33">
        <f>L14*0</f>
        <v>0</v>
      </c>
      <c r="AP14" s="33">
        <f>L14*(1-0)</f>
        <v>0</v>
      </c>
      <c r="AQ14" s="59" t="s">
        <v>80</v>
      </c>
      <c r="AV14" s="33">
        <f>AW14+AX14</f>
        <v>0</v>
      </c>
      <c r="AW14" s="33">
        <f>K14*AO14</f>
        <v>0</v>
      </c>
      <c r="AX14" s="33">
        <f>K14*AP14</f>
        <v>0</v>
      </c>
      <c r="AY14" s="61" t="s">
        <v>990</v>
      </c>
      <c r="AZ14" s="61" t="s">
        <v>1018</v>
      </c>
      <c r="BA14" s="58" t="s">
        <v>1037</v>
      </c>
      <c r="BC14" s="33">
        <f>AW14+AX14</f>
        <v>0</v>
      </c>
      <c r="BD14" s="33">
        <f>L14/(100-BE14)*100</f>
        <v>0</v>
      </c>
      <c r="BE14" s="33">
        <v>0</v>
      </c>
      <c r="BF14" s="33">
        <f>14</f>
        <v>14</v>
      </c>
      <c r="BH14" s="53">
        <f>K14*AO14</f>
        <v>0</v>
      </c>
      <c r="BI14" s="53">
        <f>K14*AP14</f>
        <v>0</v>
      </c>
      <c r="BJ14" s="53">
        <f>K14*L14</f>
        <v>0</v>
      </c>
      <c r="BK14" s="53" t="s">
        <v>1046</v>
      </c>
      <c r="BL14" s="33">
        <v>11</v>
      </c>
    </row>
    <row r="15" spans="1:14" ht="12.75">
      <c r="A15" s="17"/>
      <c r="D15" s="143" t="s">
        <v>434</v>
      </c>
      <c r="E15" s="144"/>
      <c r="F15" s="144"/>
      <c r="G15" s="144"/>
      <c r="H15" s="144"/>
      <c r="I15" s="144"/>
      <c r="K15" s="75">
        <v>2</v>
      </c>
      <c r="M15" s="14"/>
      <c r="N15" s="17"/>
    </row>
    <row r="16" spans="1:14" ht="12.75">
      <c r="A16" s="17"/>
      <c r="D16" s="143" t="s">
        <v>435</v>
      </c>
      <c r="E16" s="144"/>
      <c r="F16" s="144"/>
      <c r="G16" s="144"/>
      <c r="H16" s="144"/>
      <c r="I16" s="144"/>
      <c r="K16" s="75">
        <v>2</v>
      </c>
      <c r="M16" s="14"/>
      <c r="N16" s="17"/>
    </row>
    <row r="17" spans="1:14" ht="12.75">
      <c r="A17" s="17"/>
      <c r="D17" s="143" t="s">
        <v>436</v>
      </c>
      <c r="E17" s="144"/>
      <c r="F17" s="144"/>
      <c r="G17" s="144"/>
      <c r="H17" s="144"/>
      <c r="I17" s="144"/>
      <c r="K17" s="75">
        <v>2</v>
      </c>
      <c r="M17" s="14"/>
      <c r="N17" s="17"/>
    </row>
    <row r="18" spans="1:14" ht="12.75">
      <c r="A18" s="17"/>
      <c r="D18" s="143" t="s">
        <v>437</v>
      </c>
      <c r="E18" s="144"/>
      <c r="F18" s="144"/>
      <c r="G18" s="144"/>
      <c r="H18" s="144"/>
      <c r="I18" s="144"/>
      <c r="K18" s="75">
        <v>2</v>
      </c>
      <c r="M18" s="14"/>
      <c r="N18" s="17"/>
    </row>
    <row r="19" spans="1:14" ht="12.75">
      <c r="A19" s="17"/>
      <c r="D19" s="143" t="s">
        <v>438</v>
      </c>
      <c r="E19" s="144"/>
      <c r="F19" s="144"/>
      <c r="G19" s="144"/>
      <c r="H19" s="144"/>
      <c r="I19" s="144"/>
      <c r="K19" s="75">
        <v>2</v>
      </c>
      <c r="M19" s="14"/>
      <c r="N19" s="17"/>
    </row>
    <row r="20" spans="1:14" ht="12.75">
      <c r="A20" s="17"/>
      <c r="D20" s="143" t="s">
        <v>439</v>
      </c>
      <c r="E20" s="144"/>
      <c r="F20" s="144"/>
      <c r="G20" s="144"/>
      <c r="H20" s="144"/>
      <c r="I20" s="144"/>
      <c r="K20" s="75">
        <v>2</v>
      </c>
      <c r="M20" s="14"/>
      <c r="N20" s="17"/>
    </row>
    <row r="21" spans="1:14" ht="12.75">
      <c r="A21" s="17"/>
      <c r="D21" s="143" t="s">
        <v>440</v>
      </c>
      <c r="E21" s="144"/>
      <c r="F21" s="144"/>
      <c r="G21" s="144"/>
      <c r="H21" s="144"/>
      <c r="I21" s="144"/>
      <c r="K21" s="75">
        <v>1.1</v>
      </c>
      <c r="M21" s="14"/>
      <c r="N21" s="17"/>
    </row>
    <row r="22" spans="1:14" ht="12.75">
      <c r="A22" s="17"/>
      <c r="D22" s="143" t="s">
        <v>441</v>
      </c>
      <c r="E22" s="144"/>
      <c r="F22" s="144"/>
      <c r="G22" s="144"/>
      <c r="H22" s="144"/>
      <c r="I22" s="144"/>
      <c r="K22" s="75">
        <v>1.3</v>
      </c>
      <c r="M22" s="14"/>
      <c r="N22" s="17"/>
    </row>
    <row r="23" spans="1:64" ht="12.75">
      <c r="A23" s="38" t="s">
        <v>81</v>
      </c>
      <c r="B23" s="45" t="s">
        <v>61</v>
      </c>
      <c r="C23" s="45" t="s">
        <v>265</v>
      </c>
      <c r="D23" s="141" t="s">
        <v>442</v>
      </c>
      <c r="E23" s="142"/>
      <c r="F23" s="142"/>
      <c r="G23" s="142"/>
      <c r="H23" s="142"/>
      <c r="I23" s="142"/>
      <c r="J23" s="45" t="s">
        <v>969</v>
      </c>
      <c r="K23" s="74">
        <v>80</v>
      </c>
      <c r="L23" s="53">
        <v>0</v>
      </c>
      <c r="M23" s="65">
        <f>K23*L23</f>
        <v>0</v>
      </c>
      <c r="N23" s="17"/>
      <c r="Z23" s="33">
        <f>IF(AQ23="5",BJ23,0)</f>
        <v>0</v>
      </c>
      <c r="AB23" s="33">
        <f>IF(AQ23="1",BH23,0)</f>
        <v>0</v>
      </c>
      <c r="AC23" s="33">
        <f>IF(AQ23="1",BI23,0)</f>
        <v>0</v>
      </c>
      <c r="AD23" s="33">
        <f>IF(AQ23="7",BH23,0)</f>
        <v>0</v>
      </c>
      <c r="AE23" s="33">
        <f>IF(AQ23="7",BI23,0)</f>
        <v>0</v>
      </c>
      <c r="AF23" s="33">
        <f>IF(AQ23="2",BH23,0)</f>
        <v>0</v>
      </c>
      <c r="AG23" s="33">
        <f>IF(AQ23="2",BI23,0)</f>
        <v>0</v>
      </c>
      <c r="AH23" s="33">
        <f>IF(AQ23="0",BJ23,0)</f>
        <v>0</v>
      </c>
      <c r="AI23" s="58" t="s">
        <v>61</v>
      </c>
      <c r="AJ23" s="53">
        <f>IF(AN23=0,M23,0)</f>
        <v>0</v>
      </c>
      <c r="AK23" s="53">
        <f>IF(AN23=15,M23,0)</f>
        <v>0</v>
      </c>
      <c r="AL23" s="53">
        <f>IF(AN23=21,M23,0)</f>
        <v>0</v>
      </c>
      <c r="AN23" s="33">
        <v>21</v>
      </c>
      <c r="AO23" s="33">
        <f>L23*0</f>
        <v>0</v>
      </c>
      <c r="AP23" s="33">
        <f>L23*(1-0)</f>
        <v>0</v>
      </c>
      <c r="AQ23" s="59" t="s">
        <v>80</v>
      </c>
      <c r="AV23" s="33">
        <f>AW23+AX23</f>
        <v>0</v>
      </c>
      <c r="AW23" s="33">
        <f>K23*AO23</f>
        <v>0</v>
      </c>
      <c r="AX23" s="33">
        <f>K23*AP23</f>
        <v>0</v>
      </c>
      <c r="AY23" s="61" t="s">
        <v>990</v>
      </c>
      <c r="AZ23" s="61" t="s">
        <v>1018</v>
      </c>
      <c r="BA23" s="58" t="s">
        <v>1037</v>
      </c>
      <c r="BC23" s="33">
        <f>AW23+AX23</f>
        <v>0</v>
      </c>
      <c r="BD23" s="33">
        <f>L23/(100-BE23)*100</f>
        <v>0</v>
      </c>
      <c r="BE23" s="33">
        <v>0</v>
      </c>
      <c r="BF23" s="33">
        <f>23</f>
        <v>23</v>
      </c>
      <c r="BH23" s="53">
        <f>K23*AO23</f>
        <v>0</v>
      </c>
      <c r="BI23" s="53">
        <f>K23*AP23</f>
        <v>0</v>
      </c>
      <c r="BJ23" s="53">
        <f>K23*L23</f>
        <v>0</v>
      </c>
      <c r="BK23" s="53" t="s">
        <v>1046</v>
      </c>
      <c r="BL23" s="33">
        <v>11</v>
      </c>
    </row>
    <row r="24" spans="1:14" ht="12.75">
      <c r="A24" s="17"/>
      <c r="D24" s="143" t="s">
        <v>443</v>
      </c>
      <c r="E24" s="144"/>
      <c r="F24" s="144"/>
      <c r="G24" s="144"/>
      <c r="H24" s="144"/>
      <c r="I24" s="144"/>
      <c r="K24" s="75">
        <v>80</v>
      </c>
      <c r="M24" s="14"/>
      <c r="N24" s="17"/>
    </row>
    <row r="25" spans="1:64" ht="12.75">
      <c r="A25" s="38" t="s">
        <v>82</v>
      </c>
      <c r="B25" s="45" t="s">
        <v>61</v>
      </c>
      <c r="C25" s="45" t="s">
        <v>266</v>
      </c>
      <c r="D25" s="141" t="s">
        <v>444</v>
      </c>
      <c r="E25" s="142"/>
      <c r="F25" s="142"/>
      <c r="G25" s="142"/>
      <c r="H25" s="142"/>
      <c r="I25" s="142"/>
      <c r="J25" s="45" t="s">
        <v>970</v>
      </c>
      <c r="K25" s="74">
        <v>20</v>
      </c>
      <c r="L25" s="53">
        <v>0</v>
      </c>
      <c r="M25" s="65">
        <f>K25*L25</f>
        <v>0</v>
      </c>
      <c r="N25" s="17"/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58" t="s">
        <v>61</v>
      </c>
      <c r="AJ25" s="53">
        <f>IF(AN25=0,M25,0)</f>
        <v>0</v>
      </c>
      <c r="AK25" s="53">
        <f>IF(AN25=15,M25,0)</f>
        <v>0</v>
      </c>
      <c r="AL25" s="53">
        <f>IF(AN25=21,M25,0)</f>
        <v>0</v>
      </c>
      <c r="AN25" s="33">
        <v>21</v>
      </c>
      <c r="AO25" s="33">
        <f>L25*0</f>
        <v>0</v>
      </c>
      <c r="AP25" s="33">
        <f>L25*(1-0)</f>
        <v>0</v>
      </c>
      <c r="AQ25" s="59" t="s">
        <v>80</v>
      </c>
      <c r="AV25" s="33">
        <f>AW25+AX25</f>
        <v>0</v>
      </c>
      <c r="AW25" s="33">
        <f>K25*AO25</f>
        <v>0</v>
      </c>
      <c r="AX25" s="33">
        <f>K25*AP25</f>
        <v>0</v>
      </c>
      <c r="AY25" s="61" t="s">
        <v>990</v>
      </c>
      <c r="AZ25" s="61" t="s">
        <v>1018</v>
      </c>
      <c r="BA25" s="58" t="s">
        <v>1037</v>
      </c>
      <c r="BC25" s="33">
        <f>AW25+AX25</f>
        <v>0</v>
      </c>
      <c r="BD25" s="33">
        <f>L25/(100-BE25)*100</f>
        <v>0</v>
      </c>
      <c r="BE25" s="33">
        <v>0</v>
      </c>
      <c r="BF25" s="33">
        <f>25</f>
        <v>25</v>
      </c>
      <c r="BH25" s="53">
        <f>K25*AO25</f>
        <v>0</v>
      </c>
      <c r="BI25" s="53">
        <f>K25*AP25</f>
        <v>0</v>
      </c>
      <c r="BJ25" s="53">
        <f>K25*L25</f>
        <v>0</v>
      </c>
      <c r="BK25" s="53" t="s">
        <v>1046</v>
      </c>
      <c r="BL25" s="33">
        <v>11</v>
      </c>
    </row>
    <row r="26" spans="1:14" ht="12.75">
      <c r="A26" s="17"/>
      <c r="D26" s="143" t="s">
        <v>445</v>
      </c>
      <c r="E26" s="144"/>
      <c r="F26" s="144"/>
      <c r="G26" s="144"/>
      <c r="H26" s="144"/>
      <c r="I26" s="144"/>
      <c r="K26" s="75">
        <v>20</v>
      </c>
      <c r="M26" s="14"/>
      <c r="N26" s="17"/>
    </row>
    <row r="27" spans="1:64" ht="12.75">
      <c r="A27" s="38" t="s">
        <v>83</v>
      </c>
      <c r="B27" s="45" t="s">
        <v>61</v>
      </c>
      <c r="C27" s="45" t="s">
        <v>267</v>
      </c>
      <c r="D27" s="141" t="s">
        <v>446</v>
      </c>
      <c r="E27" s="142"/>
      <c r="F27" s="142"/>
      <c r="G27" s="142"/>
      <c r="H27" s="142"/>
      <c r="I27" s="142"/>
      <c r="J27" s="45" t="s">
        <v>968</v>
      </c>
      <c r="K27" s="74">
        <v>7.8</v>
      </c>
      <c r="L27" s="53">
        <v>0</v>
      </c>
      <c r="M27" s="65">
        <f>K27*L27</f>
        <v>0</v>
      </c>
      <c r="N27" s="17"/>
      <c r="Z27" s="33">
        <f>IF(AQ27="5",BJ27,0)</f>
        <v>0</v>
      </c>
      <c r="AB27" s="33">
        <f>IF(AQ27="1",BH27,0)</f>
        <v>0</v>
      </c>
      <c r="AC27" s="33">
        <f>IF(AQ27="1",BI27,0)</f>
        <v>0</v>
      </c>
      <c r="AD27" s="33">
        <f>IF(AQ27="7",BH27,0)</f>
        <v>0</v>
      </c>
      <c r="AE27" s="33">
        <f>IF(AQ27="7",BI27,0)</f>
        <v>0</v>
      </c>
      <c r="AF27" s="33">
        <f>IF(AQ27="2",BH27,0)</f>
        <v>0</v>
      </c>
      <c r="AG27" s="33">
        <f>IF(AQ27="2",BI27,0)</f>
        <v>0</v>
      </c>
      <c r="AH27" s="33">
        <f>IF(AQ27="0",BJ27,0)</f>
        <v>0</v>
      </c>
      <c r="AI27" s="58" t="s">
        <v>61</v>
      </c>
      <c r="AJ27" s="53">
        <f>IF(AN27=0,M27,0)</f>
        <v>0</v>
      </c>
      <c r="AK27" s="53">
        <f>IF(AN27=15,M27,0)</f>
        <v>0</v>
      </c>
      <c r="AL27" s="53">
        <f>IF(AN27=21,M27,0)</f>
        <v>0</v>
      </c>
      <c r="AN27" s="33">
        <v>21</v>
      </c>
      <c r="AO27" s="33">
        <f>L27*0.274470989761092</f>
        <v>0</v>
      </c>
      <c r="AP27" s="33">
        <f>L27*(1-0.274470989761092)</f>
        <v>0</v>
      </c>
      <c r="AQ27" s="59" t="s">
        <v>80</v>
      </c>
      <c r="AV27" s="33">
        <f>AW27+AX27</f>
        <v>0</v>
      </c>
      <c r="AW27" s="33">
        <f>K27*AO27</f>
        <v>0</v>
      </c>
      <c r="AX27" s="33">
        <f>K27*AP27</f>
        <v>0</v>
      </c>
      <c r="AY27" s="61" t="s">
        <v>990</v>
      </c>
      <c r="AZ27" s="61" t="s">
        <v>1018</v>
      </c>
      <c r="BA27" s="58" t="s">
        <v>1037</v>
      </c>
      <c r="BC27" s="33">
        <f>AW27+AX27</f>
        <v>0</v>
      </c>
      <c r="BD27" s="33">
        <f>L27/(100-BE27)*100</f>
        <v>0</v>
      </c>
      <c r="BE27" s="33">
        <v>0</v>
      </c>
      <c r="BF27" s="33">
        <f>27</f>
        <v>27</v>
      </c>
      <c r="BH27" s="53">
        <f>K27*AO27</f>
        <v>0</v>
      </c>
      <c r="BI27" s="53">
        <f>K27*AP27</f>
        <v>0</v>
      </c>
      <c r="BJ27" s="53">
        <f>K27*L27</f>
        <v>0</v>
      </c>
      <c r="BK27" s="53" t="s">
        <v>1046</v>
      </c>
      <c r="BL27" s="33">
        <v>11</v>
      </c>
    </row>
    <row r="28" spans="1:14" ht="12.75">
      <c r="A28" s="17"/>
      <c r="D28" s="143" t="s">
        <v>447</v>
      </c>
      <c r="E28" s="144"/>
      <c r="F28" s="144"/>
      <c r="G28" s="144"/>
      <c r="H28" s="144"/>
      <c r="I28" s="144"/>
      <c r="K28" s="75">
        <v>2</v>
      </c>
      <c r="M28" s="14"/>
      <c r="N28" s="17"/>
    </row>
    <row r="29" spans="1:14" ht="12.75">
      <c r="A29" s="17"/>
      <c r="D29" s="143" t="s">
        <v>448</v>
      </c>
      <c r="E29" s="144"/>
      <c r="F29" s="144"/>
      <c r="G29" s="144"/>
      <c r="H29" s="144"/>
      <c r="I29" s="144"/>
      <c r="K29" s="75">
        <v>1.92</v>
      </c>
      <c r="M29" s="14"/>
      <c r="N29" s="17"/>
    </row>
    <row r="30" spans="1:14" ht="12.75">
      <c r="A30" s="17"/>
      <c r="D30" s="143" t="s">
        <v>449</v>
      </c>
      <c r="E30" s="144"/>
      <c r="F30" s="144"/>
      <c r="G30" s="144"/>
      <c r="H30" s="144"/>
      <c r="I30" s="144"/>
      <c r="K30" s="75">
        <v>0.96</v>
      </c>
      <c r="M30" s="14"/>
      <c r="N30" s="17"/>
    </row>
    <row r="31" spans="1:14" ht="12.75">
      <c r="A31" s="17"/>
      <c r="D31" s="143" t="s">
        <v>450</v>
      </c>
      <c r="E31" s="144"/>
      <c r="F31" s="144"/>
      <c r="G31" s="144"/>
      <c r="H31" s="144"/>
      <c r="I31" s="144"/>
      <c r="K31" s="75">
        <v>0.96</v>
      </c>
      <c r="M31" s="14"/>
      <c r="N31" s="17"/>
    </row>
    <row r="32" spans="1:14" ht="12.75">
      <c r="A32" s="17"/>
      <c r="D32" s="143" t="s">
        <v>451</v>
      </c>
      <c r="E32" s="144"/>
      <c r="F32" s="144"/>
      <c r="G32" s="144"/>
      <c r="H32" s="144"/>
      <c r="I32" s="144"/>
      <c r="K32" s="75">
        <v>0.96</v>
      </c>
      <c r="M32" s="14"/>
      <c r="N32" s="17"/>
    </row>
    <row r="33" spans="1:14" ht="12.75">
      <c r="A33" s="17"/>
      <c r="D33" s="143" t="s">
        <v>452</v>
      </c>
      <c r="E33" s="144"/>
      <c r="F33" s="144"/>
      <c r="G33" s="144"/>
      <c r="H33" s="144"/>
      <c r="I33" s="144"/>
      <c r="K33" s="75">
        <v>1</v>
      </c>
      <c r="M33" s="14"/>
      <c r="N33" s="17"/>
    </row>
    <row r="34" spans="1:64" ht="12.75">
      <c r="A34" s="38" t="s">
        <v>84</v>
      </c>
      <c r="B34" s="45" t="s">
        <v>61</v>
      </c>
      <c r="C34" s="45" t="s">
        <v>268</v>
      </c>
      <c r="D34" s="141" t="s">
        <v>453</v>
      </c>
      <c r="E34" s="142"/>
      <c r="F34" s="142"/>
      <c r="G34" s="142"/>
      <c r="H34" s="142"/>
      <c r="I34" s="142"/>
      <c r="J34" s="45" t="s">
        <v>971</v>
      </c>
      <c r="K34" s="74">
        <v>1</v>
      </c>
      <c r="L34" s="53">
        <v>0</v>
      </c>
      <c r="M34" s="65">
        <f>K34*L34</f>
        <v>0</v>
      </c>
      <c r="N34" s="17"/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58" t="s">
        <v>61</v>
      </c>
      <c r="AJ34" s="53">
        <f>IF(AN34=0,M34,0)</f>
        <v>0</v>
      </c>
      <c r="AK34" s="53">
        <f>IF(AN34=15,M34,0)</f>
        <v>0</v>
      </c>
      <c r="AL34" s="53">
        <f>IF(AN34=21,M34,0)</f>
        <v>0</v>
      </c>
      <c r="AN34" s="33">
        <v>21</v>
      </c>
      <c r="AO34" s="33">
        <f>L34*0</f>
        <v>0</v>
      </c>
      <c r="AP34" s="33">
        <f>L34*(1-0)</f>
        <v>0</v>
      </c>
      <c r="AQ34" s="59" t="s">
        <v>80</v>
      </c>
      <c r="AV34" s="33">
        <f>AW34+AX34</f>
        <v>0</v>
      </c>
      <c r="AW34" s="33">
        <f>K34*AO34</f>
        <v>0</v>
      </c>
      <c r="AX34" s="33">
        <f>K34*AP34</f>
        <v>0</v>
      </c>
      <c r="AY34" s="61" t="s">
        <v>990</v>
      </c>
      <c r="AZ34" s="61" t="s">
        <v>1018</v>
      </c>
      <c r="BA34" s="58" t="s">
        <v>1037</v>
      </c>
      <c r="BC34" s="33">
        <f>AW34+AX34</f>
        <v>0</v>
      </c>
      <c r="BD34" s="33">
        <f>L34/(100-BE34)*100</f>
        <v>0</v>
      </c>
      <c r="BE34" s="33">
        <v>0</v>
      </c>
      <c r="BF34" s="33">
        <f>34</f>
        <v>34</v>
      </c>
      <c r="BH34" s="53">
        <f>K34*AO34</f>
        <v>0</v>
      </c>
      <c r="BI34" s="53">
        <f>K34*AP34</f>
        <v>0</v>
      </c>
      <c r="BJ34" s="53">
        <f>K34*L34</f>
        <v>0</v>
      </c>
      <c r="BK34" s="53" t="s">
        <v>1046</v>
      </c>
      <c r="BL34" s="33">
        <v>11</v>
      </c>
    </row>
    <row r="35" spans="1:14" ht="12.75">
      <c r="A35" s="17"/>
      <c r="C35" s="48" t="s">
        <v>269</v>
      </c>
      <c r="D35" s="145" t="s">
        <v>454</v>
      </c>
      <c r="E35" s="146"/>
      <c r="F35" s="146"/>
      <c r="G35" s="146"/>
      <c r="H35" s="146"/>
      <c r="I35" s="146"/>
      <c r="J35" s="146"/>
      <c r="K35" s="146"/>
      <c r="L35" s="146"/>
      <c r="M35" s="147"/>
      <c r="N35" s="17"/>
    </row>
    <row r="36" spans="1:14" ht="12.75">
      <c r="A36" s="17"/>
      <c r="D36" s="143" t="s">
        <v>455</v>
      </c>
      <c r="E36" s="144"/>
      <c r="F36" s="144"/>
      <c r="G36" s="144"/>
      <c r="H36" s="144"/>
      <c r="I36" s="144"/>
      <c r="K36" s="75">
        <v>1</v>
      </c>
      <c r="M36" s="14"/>
      <c r="N36" s="17"/>
    </row>
    <row r="37" spans="1:64" ht="12.75">
      <c r="A37" s="38" t="s">
        <v>85</v>
      </c>
      <c r="B37" s="45" t="s">
        <v>61</v>
      </c>
      <c r="C37" s="45" t="s">
        <v>270</v>
      </c>
      <c r="D37" s="141" t="s">
        <v>456</v>
      </c>
      <c r="E37" s="142"/>
      <c r="F37" s="142"/>
      <c r="G37" s="142"/>
      <c r="H37" s="142"/>
      <c r="I37" s="142"/>
      <c r="J37" s="45" t="s">
        <v>972</v>
      </c>
      <c r="K37" s="74">
        <v>11.7</v>
      </c>
      <c r="L37" s="53">
        <v>0</v>
      </c>
      <c r="M37" s="65">
        <f>K37*L37</f>
        <v>0</v>
      </c>
      <c r="N37" s="17"/>
      <c r="Z37" s="33">
        <f>IF(AQ37="5",BJ37,0)</f>
        <v>0</v>
      </c>
      <c r="AB37" s="33">
        <f>IF(AQ37="1",BH37,0)</f>
        <v>0</v>
      </c>
      <c r="AC37" s="33">
        <f>IF(AQ37="1",BI37,0)</f>
        <v>0</v>
      </c>
      <c r="AD37" s="33">
        <f>IF(AQ37="7",BH37,0)</f>
        <v>0</v>
      </c>
      <c r="AE37" s="33">
        <f>IF(AQ37="7",BI37,0)</f>
        <v>0</v>
      </c>
      <c r="AF37" s="33">
        <f>IF(AQ37="2",BH37,0)</f>
        <v>0</v>
      </c>
      <c r="AG37" s="33">
        <f>IF(AQ37="2",BI37,0)</f>
        <v>0</v>
      </c>
      <c r="AH37" s="33">
        <f>IF(AQ37="0",BJ37,0)</f>
        <v>0</v>
      </c>
      <c r="AI37" s="58" t="s">
        <v>61</v>
      </c>
      <c r="AJ37" s="53">
        <f>IF(AN37=0,M37,0)</f>
        <v>0</v>
      </c>
      <c r="AK37" s="53">
        <f>IF(AN37=15,M37,0)</f>
        <v>0</v>
      </c>
      <c r="AL37" s="53">
        <f>IF(AN37=21,M37,0)</f>
        <v>0</v>
      </c>
      <c r="AN37" s="33">
        <v>21</v>
      </c>
      <c r="AO37" s="33">
        <f>L37*0</f>
        <v>0</v>
      </c>
      <c r="AP37" s="33">
        <f>L37*(1-0)</f>
        <v>0</v>
      </c>
      <c r="AQ37" s="59" t="s">
        <v>80</v>
      </c>
      <c r="AV37" s="33">
        <f>AW37+AX37</f>
        <v>0</v>
      </c>
      <c r="AW37" s="33">
        <f>K37*AO37</f>
        <v>0</v>
      </c>
      <c r="AX37" s="33">
        <f>K37*AP37</f>
        <v>0</v>
      </c>
      <c r="AY37" s="61" t="s">
        <v>990</v>
      </c>
      <c r="AZ37" s="61" t="s">
        <v>1018</v>
      </c>
      <c r="BA37" s="58" t="s">
        <v>1037</v>
      </c>
      <c r="BC37" s="33">
        <f>AW37+AX37</f>
        <v>0</v>
      </c>
      <c r="BD37" s="33">
        <f>L37/(100-BE37)*100</f>
        <v>0</v>
      </c>
      <c r="BE37" s="33">
        <v>0</v>
      </c>
      <c r="BF37" s="33">
        <f>37</f>
        <v>37</v>
      </c>
      <c r="BH37" s="53">
        <f>K37*AO37</f>
        <v>0</v>
      </c>
      <c r="BI37" s="53">
        <f>K37*AP37</f>
        <v>0</v>
      </c>
      <c r="BJ37" s="53">
        <f>K37*L37</f>
        <v>0</v>
      </c>
      <c r="BK37" s="53" t="s">
        <v>1046</v>
      </c>
      <c r="BL37" s="33">
        <v>11</v>
      </c>
    </row>
    <row r="38" spans="1:14" ht="12.75">
      <c r="A38" s="17"/>
      <c r="D38" s="143" t="s">
        <v>457</v>
      </c>
      <c r="E38" s="144"/>
      <c r="F38" s="144"/>
      <c r="G38" s="144"/>
      <c r="H38" s="144"/>
      <c r="I38" s="144"/>
      <c r="K38" s="75">
        <v>1.5</v>
      </c>
      <c r="M38" s="14"/>
      <c r="N38" s="17"/>
    </row>
    <row r="39" spans="1:14" ht="12.75">
      <c r="A39" s="17"/>
      <c r="D39" s="143" t="s">
        <v>458</v>
      </c>
      <c r="E39" s="144"/>
      <c r="F39" s="144"/>
      <c r="G39" s="144"/>
      <c r="H39" s="144"/>
      <c r="I39" s="144"/>
      <c r="K39" s="75">
        <v>1.3</v>
      </c>
      <c r="M39" s="14"/>
      <c r="N39" s="17"/>
    </row>
    <row r="40" spans="1:14" ht="12.75">
      <c r="A40" s="17"/>
      <c r="D40" s="143" t="s">
        <v>459</v>
      </c>
      <c r="E40" s="144"/>
      <c r="F40" s="144"/>
      <c r="G40" s="144"/>
      <c r="H40" s="144"/>
      <c r="I40" s="144"/>
      <c r="K40" s="75">
        <v>1.3</v>
      </c>
      <c r="M40" s="14"/>
      <c r="N40" s="17"/>
    </row>
    <row r="41" spans="1:14" ht="12.75">
      <c r="A41" s="17"/>
      <c r="D41" s="143" t="s">
        <v>460</v>
      </c>
      <c r="E41" s="144"/>
      <c r="F41" s="144"/>
      <c r="G41" s="144"/>
      <c r="H41" s="144"/>
      <c r="I41" s="144"/>
      <c r="K41" s="75">
        <v>3.6</v>
      </c>
      <c r="M41" s="14"/>
      <c r="N41" s="17"/>
    </row>
    <row r="42" spans="1:14" ht="12.75">
      <c r="A42" s="17"/>
      <c r="D42" s="143" t="s">
        <v>461</v>
      </c>
      <c r="E42" s="144"/>
      <c r="F42" s="144"/>
      <c r="G42" s="144"/>
      <c r="H42" s="144"/>
      <c r="I42" s="144"/>
      <c r="K42" s="75">
        <v>1.2</v>
      </c>
      <c r="M42" s="14"/>
      <c r="N42" s="17"/>
    </row>
    <row r="43" spans="1:14" ht="12.75">
      <c r="A43" s="17"/>
      <c r="D43" s="143" t="s">
        <v>462</v>
      </c>
      <c r="E43" s="144"/>
      <c r="F43" s="144"/>
      <c r="G43" s="144"/>
      <c r="H43" s="144"/>
      <c r="I43" s="144"/>
      <c r="K43" s="75">
        <v>1.5</v>
      </c>
      <c r="M43" s="14"/>
      <c r="N43" s="17"/>
    </row>
    <row r="44" spans="1:14" ht="12.75">
      <c r="A44" s="17"/>
      <c r="D44" s="143" t="s">
        <v>463</v>
      </c>
      <c r="E44" s="144"/>
      <c r="F44" s="144"/>
      <c r="G44" s="144"/>
      <c r="H44" s="144"/>
      <c r="I44" s="144"/>
      <c r="K44" s="75">
        <v>0</v>
      </c>
      <c r="M44" s="14"/>
      <c r="N44" s="17"/>
    </row>
    <row r="45" spans="1:14" ht="12.75">
      <c r="A45" s="17"/>
      <c r="D45" s="143" t="s">
        <v>441</v>
      </c>
      <c r="E45" s="144"/>
      <c r="F45" s="144"/>
      <c r="G45" s="144"/>
      <c r="H45" s="144"/>
      <c r="I45" s="144"/>
      <c r="K45" s="75">
        <v>1.3</v>
      </c>
      <c r="M45" s="14"/>
      <c r="N45" s="17"/>
    </row>
    <row r="46" spans="1:64" ht="12.75">
      <c r="A46" s="38" t="s">
        <v>86</v>
      </c>
      <c r="B46" s="45" t="s">
        <v>61</v>
      </c>
      <c r="C46" s="45" t="s">
        <v>271</v>
      </c>
      <c r="D46" s="141" t="s">
        <v>464</v>
      </c>
      <c r="E46" s="142"/>
      <c r="F46" s="142"/>
      <c r="G46" s="142"/>
      <c r="H46" s="142"/>
      <c r="I46" s="142"/>
      <c r="J46" s="45" t="s">
        <v>972</v>
      </c>
      <c r="K46" s="74">
        <v>12.8</v>
      </c>
      <c r="L46" s="53">
        <v>0</v>
      </c>
      <c r="M46" s="65">
        <f>K46*L46</f>
        <v>0</v>
      </c>
      <c r="N46" s="17"/>
      <c r="Z46" s="33">
        <f>IF(AQ46="5",BJ46,0)</f>
        <v>0</v>
      </c>
      <c r="AB46" s="33">
        <f>IF(AQ46="1",BH46,0)</f>
        <v>0</v>
      </c>
      <c r="AC46" s="33">
        <f>IF(AQ46="1",BI46,0)</f>
        <v>0</v>
      </c>
      <c r="AD46" s="33">
        <f>IF(AQ46="7",BH46,0)</f>
        <v>0</v>
      </c>
      <c r="AE46" s="33">
        <f>IF(AQ46="7",BI46,0)</f>
        <v>0</v>
      </c>
      <c r="AF46" s="33">
        <f>IF(AQ46="2",BH46,0)</f>
        <v>0</v>
      </c>
      <c r="AG46" s="33">
        <f>IF(AQ46="2",BI46,0)</f>
        <v>0</v>
      </c>
      <c r="AH46" s="33">
        <f>IF(AQ46="0",BJ46,0)</f>
        <v>0</v>
      </c>
      <c r="AI46" s="58" t="s">
        <v>61</v>
      </c>
      <c r="AJ46" s="53">
        <f>IF(AN46=0,M46,0)</f>
        <v>0</v>
      </c>
      <c r="AK46" s="53">
        <f>IF(AN46=15,M46,0)</f>
        <v>0</v>
      </c>
      <c r="AL46" s="53">
        <f>IF(AN46=21,M46,0)</f>
        <v>0</v>
      </c>
      <c r="AN46" s="33">
        <v>21</v>
      </c>
      <c r="AO46" s="33">
        <f>L46*0</f>
        <v>0</v>
      </c>
      <c r="AP46" s="33">
        <f>L46*(1-0)</f>
        <v>0</v>
      </c>
      <c r="AQ46" s="59" t="s">
        <v>80</v>
      </c>
      <c r="AV46" s="33">
        <f>AW46+AX46</f>
        <v>0</v>
      </c>
      <c r="AW46" s="33">
        <f>K46*AO46</f>
        <v>0</v>
      </c>
      <c r="AX46" s="33">
        <f>K46*AP46</f>
        <v>0</v>
      </c>
      <c r="AY46" s="61" t="s">
        <v>990</v>
      </c>
      <c r="AZ46" s="61" t="s">
        <v>1018</v>
      </c>
      <c r="BA46" s="58" t="s">
        <v>1037</v>
      </c>
      <c r="BC46" s="33">
        <f>AW46+AX46</f>
        <v>0</v>
      </c>
      <c r="BD46" s="33">
        <f>L46/(100-BE46)*100</f>
        <v>0</v>
      </c>
      <c r="BE46" s="33">
        <v>0</v>
      </c>
      <c r="BF46" s="33">
        <f>46</f>
        <v>46</v>
      </c>
      <c r="BH46" s="53">
        <f>K46*AO46</f>
        <v>0</v>
      </c>
      <c r="BI46" s="53">
        <f>K46*AP46</f>
        <v>0</v>
      </c>
      <c r="BJ46" s="53">
        <f>K46*L46</f>
        <v>0</v>
      </c>
      <c r="BK46" s="53" t="s">
        <v>1046</v>
      </c>
      <c r="BL46" s="33">
        <v>11</v>
      </c>
    </row>
    <row r="47" spans="1:14" ht="12.75">
      <c r="A47" s="17"/>
      <c r="D47" s="143" t="s">
        <v>465</v>
      </c>
      <c r="E47" s="144"/>
      <c r="F47" s="144"/>
      <c r="G47" s="144"/>
      <c r="H47" s="144"/>
      <c r="I47" s="144"/>
      <c r="K47" s="75">
        <v>12.8</v>
      </c>
      <c r="M47" s="14"/>
      <c r="N47" s="17"/>
    </row>
    <row r="48" spans="1:47" ht="12.75">
      <c r="A48" s="37"/>
      <c r="B48" s="44" t="s">
        <v>61</v>
      </c>
      <c r="C48" s="44" t="s">
        <v>92</v>
      </c>
      <c r="D48" s="139" t="s">
        <v>466</v>
      </c>
      <c r="E48" s="140"/>
      <c r="F48" s="140"/>
      <c r="G48" s="140"/>
      <c r="H48" s="140"/>
      <c r="I48" s="140"/>
      <c r="J48" s="50" t="s">
        <v>59</v>
      </c>
      <c r="K48" s="50" t="s">
        <v>59</v>
      </c>
      <c r="L48" s="50" t="s">
        <v>59</v>
      </c>
      <c r="M48" s="64">
        <f>SUM(M49:M91)</f>
        <v>0</v>
      </c>
      <c r="N48" s="17"/>
      <c r="AI48" s="58" t="s">
        <v>61</v>
      </c>
      <c r="AS48" s="68">
        <f>SUM(AJ49:AJ91)</f>
        <v>0</v>
      </c>
      <c r="AT48" s="68">
        <f>SUM(AK49:AK91)</f>
        <v>0</v>
      </c>
      <c r="AU48" s="68">
        <f>SUM(AL49:AL91)</f>
        <v>0</v>
      </c>
    </row>
    <row r="49" spans="1:64" ht="12.75">
      <c r="A49" s="38" t="s">
        <v>87</v>
      </c>
      <c r="B49" s="45" t="s">
        <v>61</v>
      </c>
      <c r="C49" s="45" t="s">
        <v>272</v>
      </c>
      <c r="D49" s="141" t="s">
        <v>467</v>
      </c>
      <c r="E49" s="142"/>
      <c r="F49" s="142"/>
      <c r="G49" s="142"/>
      <c r="H49" s="142"/>
      <c r="I49" s="142"/>
      <c r="J49" s="45" t="s">
        <v>973</v>
      </c>
      <c r="K49" s="74">
        <v>17.1</v>
      </c>
      <c r="L49" s="53">
        <v>0</v>
      </c>
      <c r="M49" s="65">
        <f>K49*L49</f>
        <v>0</v>
      </c>
      <c r="N49" s="17"/>
      <c r="Z49" s="33">
        <f>IF(AQ49="5",BJ49,0)</f>
        <v>0</v>
      </c>
      <c r="AB49" s="33">
        <f>IF(AQ49="1",BH49,0)</f>
        <v>0</v>
      </c>
      <c r="AC49" s="33">
        <f>IF(AQ49="1",BI49,0)</f>
        <v>0</v>
      </c>
      <c r="AD49" s="33">
        <f>IF(AQ49="7",BH49,0)</f>
        <v>0</v>
      </c>
      <c r="AE49" s="33">
        <f>IF(AQ49="7",BI49,0)</f>
        <v>0</v>
      </c>
      <c r="AF49" s="33">
        <f>IF(AQ49="2",BH49,0)</f>
        <v>0</v>
      </c>
      <c r="AG49" s="33">
        <f>IF(AQ49="2",BI49,0)</f>
        <v>0</v>
      </c>
      <c r="AH49" s="33">
        <f>IF(AQ49="0",BJ49,0)</f>
        <v>0</v>
      </c>
      <c r="AI49" s="58" t="s">
        <v>61</v>
      </c>
      <c r="AJ49" s="53">
        <f>IF(AN49=0,M49,0)</f>
        <v>0</v>
      </c>
      <c r="AK49" s="53">
        <f>IF(AN49=15,M49,0)</f>
        <v>0</v>
      </c>
      <c r="AL49" s="53">
        <f>IF(AN49=21,M49,0)</f>
        <v>0</v>
      </c>
      <c r="AN49" s="33">
        <v>21</v>
      </c>
      <c r="AO49" s="33">
        <f>L49*0</f>
        <v>0</v>
      </c>
      <c r="AP49" s="33">
        <f>L49*(1-0)</f>
        <v>0</v>
      </c>
      <c r="AQ49" s="59" t="s">
        <v>80</v>
      </c>
      <c r="AV49" s="33">
        <f>AW49+AX49</f>
        <v>0</v>
      </c>
      <c r="AW49" s="33">
        <f>K49*AO49</f>
        <v>0</v>
      </c>
      <c r="AX49" s="33">
        <f>K49*AP49</f>
        <v>0</v>
      </c>
      <c r="AY49" s="61" t="s">
        <v>991</v>
      </c>
      <c r="AZ49" s="61" t="s">
        <v>1018</v>
      </c>
      <c r="BA49" s="58" t="s">
        <v>1037</v>
      </c>
      <c r="BC49" s="33">
        <f>AW49+AX49</f>
        <v>0</v>
      </c>
      <c r="BD49" s="33">
        <f>L49/(100-BE49)*100</f>
        <v>0</v>
      </c>
      <c r="BE49" s="33">
        <v>0</v>
      </c>
      <c r="BF49" s="33">
        <f>49</f>
        <v>49</v>
      </c>
      <c r="BH49" s="53">
        <f>K49*AO49</f>
        <v>0</v>
      </c>
      <c r="BI49" s="53">
        <f>K49*AP49</f>
        <v>0</v>
      </c>
      <c r="BJ49" s="53">
        <f>K49*L49</f>
        <v>0</v>
      </c>
      <c r="BK49" s="53" t="s">
        <v>1046</v>
      </c>
      <c r="BL49" s="33">
        <v>13</v>
      </c>
    </row>
    <row r="50" spans="1:14" ht="12.75">
      <c r="A50" s="17"/>
      <c r="D50" s="143" t="s">
        <v>468</v>
      </c>
      <c r="E50" s="144"/>
      <c r="F50" s="144"/>
      <c r="G50" s="144"/>
      <c r="H50" s="144"/>
      <c r="I50" s="144"/>
      <c r="K50" s="75">
        <v>3</v>
      </c>
      <c r="M50" s="14"/>
      <c r="N50" s="17"/>
    </row>
    <row r="51" spans="1:14" ht="12.75">
      <c r="A51" s="17"/>
      <c r="D51" s="143" t="s">
        <v>469</v>
      </c>
      <c r="E51" s="144"/>
      <c r="F51" s="144"/>
      <c r="G51" s="144"/>
      <c r="H51" s="144"/>
      <c r="I51" s="144"/>
      <c r="K51" s="75">
        <v>2.88</v>
      </c>
      <c r="M51" s="14"/>
      <c r="N51" s="17"/>
    </row>
    <row r="52" spans="1:14" ht="12.75">
      <c r="A52" s="17"/>
      <c r="D52" s="143" t="s">
        <v>470</v>
      </c>
      <c r="E52" s="144"/>
      <c r="F52" s="144"/>
      <c r="G52" s="144"/>
      <c r="H52" s="144"/>
      <c r="I52" s="144"/>
      <c r="K52" s="75">
        <v>1.44</v>
      </c>
      <c r="M52" s="14"/>
      <c r="N52" s="17"/>
    </row>
    <row r="53" spans="1:14" ht="12.75">
      <c r="A53" s="17"/>
      <c r="D53" s="143" t="s">
        <v>471</v>
      </c>
      <c r="E53" s="144"/>
      <c r="F53" s="144"/>
      <c r="G53" s="144"/>
      <c r="H53" s="144"/>
      <c r="I53" s="144"/>
      <c r="K53" s="75">
        <v>1.44</v>
      </c>
      <c r="M53" s="14"/>
      <c r="N53" s="17"/>
    </row>
    <row r="54" spans="1:14" ht="12.75">
      <c r="A54" s="17"/>
      <c r="D54" s="143" t="s">
        <v>472</v>
      </c>
      <c r="E54" s="144"/>
      <c r="F54" s="144"/>
      <c r="G54" s="144"/>
      <c r="H54" s="144"/>
      <c r="I54" s="144"/>
      <c r="K54" s="75">
        <v>1.44</v>
      </c>
      <c r="M54" s="14"/>
      <c r="N54" s="17"/>
    </row>
    <row r="55" spans="1:14" ht="12.75">
      <c r="A55" s="17"/>
      <c r="D55" s="143" t="s">
        <v>473</v>
      </c>
      <c r="E55" s="144"/>
      <c r="F55" s="144"/>
      <c r="G55" s="144"/>
      <c r="H55" s="144"/>
      <c r="I55" s="144"/>
      <c r="K55" s="75">
        <v>1.5</v>
      </c>
      <c r="M55" s="14"/>
      <c r="N55" s="17"/>
    </row>
    <row r="56" spans="1:14" ht="12.75">
      <c r="A56" s="17"/>
      <c r="D56" s="143" t="s">
        <v>474</v>
      </c>
      <c r="E56" s="144"/>
      <c r="F56" s="144"/>
      <c r="G56" s="144"/>
      <c r="H56" s="144"/>
      <c r="I56" s="144"/>
      <c r="K56" s="75">
        <v>5.4</v>
      </c>
      <c r="M56" s="14"/>
      <c r="N56" s="17"/>
    </row>
    <row r="57" spans="1:64" ht="12.75">
      <c r="A57" s="38" t="s">
        <v>88</v>
      </c>
      <c r="B57" s="45" t="s">
        <v>61</v>
      </c>
      <c r="C57" s="45" t="s">
        <v>273</v>
      </c>
      <c r="D57" s="141" t="s">
        <v>475</v>
      </c>
      <c r="E57" s="142"/>
      <c r="F57" s="142"/>
      <c r="G57" s="142"/>
      <c r="H57" s="142"/>
      <c r="I57" s="142"/>
      <c r="J57" s="45" t="s">
        <v>973</v>
      </c>
      <c r="K57" s="74">
        <v>127.398</v>
      </c>
      <c r="L57" s="53">
        <v>0</v>
      </c>
      <c r="M57" s="65">
        <f>K57*L57</f>
        <v>0</v>
      </c>
      <c r="N57" s="17"/>
      <c r="Z57" s="33">
        <f>IF(AQ57="5",BJ57,0)</f>
        <v>0</v>
      </c>
      <c r="AB57" s="33">
        <f>IF(AQ57="1",BH57,0)</f>
        <v>0</v>
      </c>
      <c r="AC57" s="33">
        <f>IF(AQ57="1",BI57,0)</f>
        <v>0</v>
      </c>
      <c r="AD57" s="33">
        <f>IF(AQ57="7",BH57,0)</f>
        <v>0</v>
      </c>
      <c r="AE57" s="33">
        <f>IF(AQ57="7",BI57,0)</f>
        <v>0</v>
      </c>
      <c r="AF57" s="33">
        <f>IF(AQ57="2",BH57,0)</f>
        <v>0</v>
      </c>
      <c r="AG57" s="33">
        <f>IF(AQ57="2",BI57,0)</f>
        <v>0</v>
      </c>
      <c r="AH57" s="33">
        <f>IF(AQ57="0",BJ57,0)</f>
        <v>0</v>
      </c>
      <c r="AI57" s="58" t="s">
        <v>61</v>
      </c>
      <c r="AJ57" s="53">
        <f>IF(AN57=0,M57,0)</f>
        <v>0</v>
      </c>
      <c r="AK57" s="53">
        <f>IF(AN57=15,M57,0)</f>
        <v>0</v>
      </c>
      <c r="AL57" s="53">
        <f>IF(AN57=21,M57,0)</f>
        <v>0</v>
      </c>
      <c r="AN57" s="33">
        <v>21</v>
      </c>
      <c r="AO57" s="33">
        <f>L57*0</f>
        <v>0</v>
      </c>
      <c r="AP57" s="33">
        <f>L57*(1-0)</f>
        <v>0</v>
      </c>
      <c r="AQ57" s="59" t="s">
        <v>80</v>
      </c>
      <c r="AV57" s="33">
        <f>AW57+AX57</f>
        <v>0</v>
      </c>
      <c r="AW57" s="33">
        <f>K57*AO57</f>
        <v>0</v>
      </c>
      <c r="AX57" s="33">
        <f>K57*AP57</f>
        <v>0</v>
      </c>
      <c r="AY57" s="61" t="s">
        <v>991</v>
      </c>
      <c r="AZ57" s="61" t="s">
        <v>1018</v>
      </c>
      <c r="BA57" s="58" t="s">
        <v>1037</v>
      </c>
      <c r="BC57" s="33">
        <f>AW57+AX57</f>
        <v>0</v>
      </c>
      <c r="BD57" s="33">
        <f>L57/(100-BE57)*100</f>
        <v>0</v>
      </c>
      <c r="BE57" s="33">
        <v>0</v>
      </c>
      <c r="BF57" s="33">
        <f>57</f>
        <v>57</v>
      </c>
      <c r="BH57" s="53">
        <f>K57*AO57</f>
        <v>0</v>
      </c>
      <c r="BI57" s="53">
        <f>K57*AP57</f>
        <v>0</v>
      </c>
      <c r="BJ57" s="53">
        <f>K57*L57</f>
        <v>0</v>
      </c>
      <c r="BK57" s="53" t="s">
        <v>1046</v>
      </c>
      <c r="BL57" s="33">
        <v>13</v>
      </c>
    </row>
    <row r="58" spans="1:14" ht="12.75">
      <c r="A58" s="17"/>
      <c r="D58" s="143" t="s">
        <v>476</v>
      </c>
      <c r="E58" s="144"/>
      <c r="F58" s="144"/>
      <c r="G58" s="144"/>
      <c r="H58" s="144"/>
      <c r="I58" s="144"/>
      <c r="K58" s="75">
        <v>0</v>
      </c>
      <c r="M58" s="14"/>
      <c r="N58" s="17"/>
    </row>
    <row r="59" spans="1:14" ht="12.75">
      <c r="A59" s="17"/>
      <c r="D59" s="143" t="s">
        <v>477</v>
      </c>
      <c r="E59" s="144"/>
      <c r="F59" s="144"/>
      <c r="G59" s="144"/>
      <c r="H59" s="144"/>
      <c r="I59" s="144"/>
      <c r="K59" s="75">
        <v>33.96</v>
      </c>
      <c r="M59" s="14"/>
      <c r="N59" s="17"/>
    </row>
    <row r="60" spans="1:14" ht="12.75">
      <c r="A60" s="17"/>
      <c r="D60" s="143" t="s">
        <v>478</v>
      </c>
      <c r="E60" s="144"/>
      <c r="F60" s="144"/>
      <c r="G60" s="144"/>
      <c r="H60" s="144"/>
      <c r="I60" s="144"/>
      <c r="K60" s="75">
        <v>9.378</v>
      </c>
      <c r="M60" s="14"/>
      <c r="N60" s="17"/>
    </row>
    <row r="61" spans="1:14" ht="12.75">
      <c r="A61" s="17"/>
      <c r="D61" s="143" t="s">
        <v>479</v>
      </c>
      <c r="E61" s="144"/>
      <c r="F61" s="144"/>
      <c r="G61" s="144"/>
      <c r="H61" s="144"/>
      <c r="I61" s="144"/>
      <c r="K61" s="75">
        <v>5.844</v>
      </c>
      <c r="M61" s="14"/>
      <c r="N61" s="17"/>
    </row>
    <row r="62" spans="1:14" ht="12.75">
      <c r="A62" s="17"/>
      <c r="D62" s="143" t="s">
        <v>480</v>
      </c>
      <c r="E62" s="144"/>
      <c r="F62" s="144"/>
      <c r="G62" s="144"/>
      <c r="H62" s="144"/>
      <c r="I62" s="144"/>
      <c r="K62" s="75">
        <v>1.77</v>
      </c>
      <c r="M62" s="14"/>
      <c r="N62" s="17"/>
    </row>
    <row r="63" spans="1:14" ht="12.75">
      <c r="A63" s="17"/>
      <c r="D63" s="143" t="s">
        <v>481</v>
      </c>
      <c r="E63" s="144"/>
      <c r="F63" s="144"/>
      <c r="G63" s="144"/>
      <c r="H63" s="144"/>
      <c r="I63" s="144"/>
      <c r="K63" s="75">
        <v>0.258</v>
      </c>
      <c r="M63" s="14"/>
      <c r="N63" s="17"/>
    </row>
    <row r="64" spans="1:14" ht="12.75">
      <c r="A64" s="17"/>
      <c r="D64" s="143" t="s">
        <v>482</v>
      </c>
      <c r="E64" s="144"/>
      <c r="F64" s="144"/>
      <c r="G64" s="144"/>
      <c r="H64" s="144"/>
      <c r="I64" s="144"/>
      <c r="K64" s="75">
        <v>24.504</v>
      </c>
      <c r="M64" s="14"/>
      <c r="N64" s="17"/>
    </row>
    <row r="65" spans="1:14" ht="12.75">
      <c r="A65" s="17"/>
      <c r="D65" s="143" t="s">
        <v>483</v>
      </c>
      <c r="E65" s="144"/>
      <c r="F65" s="144"/>
      <c r="G65" s="144"/>
      <c r="H65" s="144"/>
      <c r="I65" s="144"/>
      <c r="K65" s="75">
        <v>2.862</v>
      </c>
      <c r="M65" s="14"/>
      <c r="N65" s="17"/>
    </row>
    <row r="66" spans="1:14" ht="12.75">
      <c r="A66" s="17"/>
      <c r="D66" s="143" t="s">
        <v>484</v>
      </c>
      <c r="E66" s="144"/>
      <c r="F66" s="144"/>
      <c r="G66" s="144"/>
      <c r="H66" s="144"/>
      <c r="I66" s="144"/>
      <c r="K66" s="75">
        <v>4.026</v>
      </c>
      <c r="M66" s="14"/>
      <c r="N66" s="17"/>
    </row>
    <row r="67" spans="1:14" ht="12.75">
      <c r="A67" s="17"/>
      <c r="D67" s="143" t="s">
        <v>485</v>
      </c>
      <c r="E67" s="144"/>
      <c r="F67" s="144"/>
      <c r="G67" s="144"/>
      <c r="H67" s="144"/>
      <c r="I67" s="144"/>
      <c r="K67" s="75">
        <v>1.674</v>
      </c>
      <c r="M67" s="14"/>
      <c r="N67" s="17"/>
    </row>
    <row r="68" spans="1:14" ht="12.75">
      <c r="A68" s="17"/>
      <c r="D68" s="143" t="s">
        <v>486</v>
      </c>
      <c r="E68" s="144"/>
      <c r="F68" s="144"/>
      <c r="G68" s="144"/>
      <c r="H68" s="144"/>
      <c r="I68" s="144"/>
      <c r="K68" s="75">
        <v>1.512</v>
      </c>
      <c r="M68" s="14"/>
      <c r="N68" s="17"/>
    </row>
    <row r="69" spans="1:14" ht="12.75">
      <c r="A69" s="17"/>
      <c r="D69" s="143" t="s">
        <v>487</v>
      </c>
      <c r="E69" s="144"/>
      <c r="F69" s="144"/>
      <c r="G69" s="144"/>
      <c r="H69" s="144"/>
      <c r="I69" s="144"/>
      <c r="K69" s="75">
        <v>0.57</v>
      </c>
      <c r="M69" s="14"/>
      <c r="N69" s="17"/>
    </row>
    <row r="70" spans="1:14" ht="12.75">
      <c r="A70" s="17"/>
      <c r="D70" s="143" t="s">
        <v>488</v>
      </c>
      <c r="E70" s="144"/>
      <c r="F70" s="144"/>
      <c r="G70" s="144"/>
      <c r="H70" s="144"/>
      <c r="I70" s="144"/>
      <c r="K70" s="75">
        <v>31.5</v>
      </c>
      <c r="M70" s="14"/>
      <c r="N70" s="17"/>
    </row>
    <row r="71" spans="1:14" ht="12.75">
      <c r="A71" s="17"/>
      <c r="D71" s="143" t="s">
        <v>489</v>
      </c>
      <c r="E71" s="144"/>
      <c r="F71" s="144"/>
      <c r="G71" s="144"/>
      <c r="H71" s="144"/>
      <c r="I71" s="144"/>
      <c r="K71" s="75">
        <v>8.76</v>
      </c>
      <c r="M71" s="14"/>
      <c r="N71" s="17"/>
    </row>
    <row r="72" spans="1:14" ht="12.75">
      <c r="A72" s="17"/>
      <c r="D72" s="143" t="s">
        <v>490</v>
      </c>
      <c r="E72" s="144"/>
      <c r="F72" s="144"/>
      <c r="G72" s="144"/>
      <c r="H72" s="144"/>
      <c r="I72" s="144"/>
      <c r="K72" s="75">
        <v>0.78</v>
      </c>
      <c r="M72" s="14"/>
      <c r="N72" s="17"/>
    </row>
    <row r="73" spans="1:64" ht="12.75">
      <c r="A73" s="38" t="s">
        <v>89</v>
      </c>
      <c r="B73" s="45" t="s">
        <v>61</v>
      </c>
      <c r="C73" s="45" t="s">
        <v>274</v>
      </c>
      <c r="D73" s="141" t="s">
        <v>491</v>
      </c>
      <c r="E73" s="142"/>
      <c r="F73" s="142"/>
      <c r="G73" s="142"/>
      <c r="H73" s="142"/>
      <c r="I73" s="142"/>
      <c r="J73" s="45" t="s">
        <v>973</v>
      </c>
      <c r="K73" s="74">
        <v>63.699</v>
      </c>
      <c r="L73" s="53">
        <v>0</v>
      </c>
      <c r="M73" s="65">
        <f>K73*L73</f>
        <v>0</v>
      </c>
      <c r="N73" s="17"/>
      <c r="Z73" s="33">
        <f>IF(AQ73="5",BJ73,0)</f>
        <v>0</v>
      </c>
      <c r="AB73" s="33">
        <f>IF(AQ73="1",BH73,0)</f>
        <v>0</v>
      </c>
      <c r="AC73" s="33">
        <f>IF(AQ73="1",BI73,0)</f>
        <v>0</v>
      </c>
      <c r="AD73" s="33">
        <f>IF(AQ73="7",BH73,0)</f>
        <v>0</v>
      </c>
      <c r="AE73" s="33">
        <f>IF(AQ73="7",BI73,0)</f>
        <v>0</v>
      </c>
      <c r="AF73" s="33">
        <f>IF(AQ73="2",BH73,0)</f>
        <v>0</v>
      </c>
      <c r="AG73" s="33">
        <f>IF(AQ73="2",BI73,0)</f>
        <v>0</v>
      </c>
      <c r="AH73" s="33">
        <f>IF(AQ73="0",BJ73,0)</f>
        <v>0</v>
      </c>
      <c r="AI73" s="58" t="s">
        <v>61</v>
      </c>
      <c r="AJ73" s="53">
        <f>IF(AN73=0,M73,0)</f>
        <v>0</v>
      </c>
      <c r="AK73" s="53">
        <f>IF(AN73=15,M73,0)</f>
        <v>0</v>
      </c>
      <c r="AL73" s="53">
        <f>IF(AN73=21,M73,0)</f>
        <v>0</v>
      </c>
      <c r="AN73" s="33">
        <v>21</v>
      </c>
      <c r="AO73" s="33">
        <f>L73*0</f>
        <v>0</v>
      </c>
      <c r="AP73" s="33">
        <f>L73*(1-0)</f>
        <v>0</v>
      </c>
      <c r="AQ73" s="59" t="s">
        <v>80</v>
      </c>
      <c r="AV73" s="33">
        <f>AW73+AX73</f>
        <v>0</v>
      </c>
      <c r="AW73" s="33">
        <f>K73*AO73</f>
        <v>0</v>
      </c>
      <c r="AX73" s="33">
        <f>K73*AP73</f>
        <v>0</v>
      </c>
      <c r="AY73" s="61" t="s">
        <v>991</v>
      </c>
      <c r="AZ73" s="61" t="s">
        <v>1018</v>
      </c>
      <c r="BA73" s="58" t="s">
        <v>1037</v>
      </c>
      <c r="BC73" s="33">
        <f>AW73+AX73</f>
        <v>0</v>
      </c>
      <c r="BD73" s="33">
        <f>L73/(100-BE73)*100</f>
        <v>0</v>
      </c>
      <c r="BE73" s="33">
        <v>0</v>
      </c>
      <c r="BF73" s="33">
        <f>73</f>
        <v>73</v>
      </c>
      <c r="BH73" s="53">
        <f>K73*AO73</f>
        <v>0</v>
      </c>
      <c r="BI73" s="53">
        <f>K73*AP73</f>
        <v>0</v>
      </c>
      <c r="BJ73" s="53">
        <f>K73*L73</f>
        <v>0</v>
      </c>
      <c r="BK73" s="53" t="s">
        <v>1046</v>
      </c>
      <c r="BL73" s="33">
        <v>13</v>
      </c>
    </row>
    <row r="74" spans="1:14" ht="12.75">
      <c r="A74" s="17"/>
      <c r="D74" s="143" t="s">
        <v>492</v>
      </c>
      <c r="E74" s="144"/>
      <c r="F74" s="144"/>
      <c r="G74" s="144"/>
      <c r="H74" s="144"/>
      <c r="I74" s="144"/>
      <c r="K74" s="75">
        <v>63.699</v>
      </c>
      <c r="M74" s="14"/>
      <c r="N74" s="17"/>
    </row>
    <row r="75" spans="1:64" ht="12.75">
      <c r="A75" s="38" t="s">
        <v>90</v>
      </c>
      <c r="B75" s="45" t="s">
        <v>61</v>
      </c>
      <c r="C75" s="45" t="s">
        <v>275</v>
      </c>
      <c r="D75" s="141" t="s">
        <v>493</v>
      </c>
      <c r="E75" s="142"/>
      <c r="F75" s="142"/>
      <c r="G75" s="142"/>
      <c r="H75" s="142"/>
      <c r="I75" s="142"/>
      <c r="J75" s="45" t="s">
        <v>973</v>
      </c>
      <c r="K75" s="74">
        <v>84.932</v>
      </c>
      <c r="L75" s="53">
        <v>0</v>
      </c>
      <c r="M75" s="65">
        <f>K75*L75</f>
        <v>0</v>
      </c>
      <c r="N75" s="17"/>
      <c r="Z75" s="33">
        <f>IF(AQ75="5",BJ75,0)</f>
        <v>0</v>
      </c>
      <c r="AB75" s="33">
        <f>IF(AQ75="1",BH75,0)</f>
        <v>0</v>
      </c>
      <c r="AC75" s="33">
        <f>IF(AQ75="1",BI75,0)</f>
        <v>0</v>
      </c>
      <c r="AD75" s="33">
        <f>IF(AQ75="7",BH75,0)</f>
        <v>0</v>
      </c>
      <c r="AE75" s="33">
        <f>IF(AQ75="7",BI75,0)</f>
        <v>0</v>
      </c>
      <c r="AF75" s="33">
        <f>IF(AQ75="2",BH75,0)</f>
        <v>0</v>
      </c>
      <c r="AG75" s="33">
        <f>IF(AQ75="2",BI75,0)</f>
        <v>0</v>
      </c>
      <c r="AH75" s="33">
        <f>IF(AQ75="0",BJ75,0)</f>
        <v>0</v>
      </c>
      <c r="AI75" s="58" t="s">
        <v>61</v>
      </c>
      <c r="AJ75" s="53">
        <f>IF(AN75=0,M75,0)</f>
        <v>0</v>
      </c>
      <c r="AK75" s="53">
        <f>IF(AN75=15,M75,0)</f>
        <v>0</v>
      </c>
      <c r="AL75" s="53">
        <f>IF(AN75=21,M75,0)</f>
        <v>0</v>
      </c>
      <c r="AN75" s="33">
        <v>21</v>
      </c>
      <c r="AO75" s="33">
        <f>L75*0</f>
        <v>0</v>
      </c>
      <c r="AP75" s="33">
        <f>L75*(1-0)</f>
        <v>0</v>
      </c>
      <c r="AQ75" s="59" t="s">
        <v>80</v>
      </c>
      <c r="AV75" s="33">
        <f>AW75+AX75</f>
        <v>0</v>
      </c>
      <c r="AW75" s="33">
        <f>K75*AO75</f>
        <v>0</v>
      </c>
      <c r="AX75" s="33">
        <f>K75*AP75</f>
        <v>0</v>
      </c>
      <c r="AY75" s="61" t="s">
        <v>991</v>
      </c>
      <c r="AZ75" s="61" t="s">
        <v>1018</v>
      </c>
      <c r="BA75" s="58" t="s">
        <v>1037</v>
      </c>
      <c r="BC75" s="33">
        <f>AW75+AX75</f>
        <v>0</v>
      </c>
      <c r="BD75" s="33">
        <f>L75/(100-BE75)*100</f>
        <v>0</v>
      </c>
      <c r="BE75" s="33">
        <v>0</v>
      </c>
      <c r="BF75" s="33">
        <f>75</f>
        <v>75</v>
      </c>
      <c r="BH75" s="53">
        <f>K75*AO75</f>
        <v>0</v>
      </c>
      <c r="BI75" s="53">
        <f>K75*AP75</f>
        <v>0</v>
      </c>
      <c r="BJ75" s="53">
        <f>K75*L75</f>
        <v>0</v>
      </c>
      <c r="BK75" s="53" t="s">
        <v>1046</v>
      </c>
      <c r="BL75" s="33">
        <v>13</v>
      </c>
    </row>
    <row r="76" spans="1:14" ht="12.75">
      <c r="A76" s="17"/>
      <c r="D76" s="143" t="s">
        <v>494</v>
      </c>
      <c r="E76" s="144"/>
      <c r="F76" s="144"/>
      <c r="G76" s="144"/>
      <c r="H76" s="144"/>
      <c r="I76" s="144"/>
      <c r="K76" s="75">
        <v>0</v>
      </c>
      <c r="M76" s="14"/>
      <c r="N76" s="17"/>
    </row>
    <row r="77" spans="1:14" ht="12.75">
      <c r="A77" s="17"/>
      <c r="D77" s="143" t="s">
        <v>495</v>
      </c>
      <c r="E77" s="144"/>
      <c r="F77" s="144"/>
      <c r="G77" s="144"/>
      <c r="H77" s="144"/>
      <c r="I77" s="144"/>
      <c r="K77" s="75">
        <v>22.64</v>
      </c>
      <c r="M77" s="14"/>
      <c r="N77" s="17"/>
    </row>
    <row r="78" spans="1:14" ht="12.75">
      <c r="A78" s="17"/>
      <c r="D78" s="143" t="s">
        <v>496</v>
      </c>
      <c r="E78" s="144"/>
      <c r="F78" s="144"/>
      <c r="G78" s="144"/>
      <c r="H78" s="144"/>
      <c r="I78" s="144"/>
      <c r="K78" s="75">
        <v>6.252</v>
      </c>
      <c r="M78" s="14"/>
      <c r="N78" s="17"/>
    </row>
    <row r="79" spans="1:14" ht="12.75">
      <c r="A79" s="17"/>
      <c r="D79" s="143" t="s">
        <v>497</v>
      </c>
      <c r="E79" s="144"/>
      <c r="F79" s="144"/>
      <c r="G79" s="144"/>
      <c r="H79" s="144"/>
      <c r="I79" s="144"/>
      <c r="K79" s="75">
        <v>3.896</v>
      </c>
      <c r="M79" s="14"/>
      <c r="N79" s="17"/>
    </row>
    <row r="80" spans="1:14" ht="12.75">
      <c r="A80" s="17"/>
      <c r="D80" s="143" t="s">
        <v>498</v>
      </c>
      <c r="E80" s="144"/>
      <c r="F80" s="144"/>
      <c r="G80" s="144"/>
      <c r="H80" s="144"/>
      <c r="I80" s="144"/>
      <c r="K80" s="75">
        <v>1.18</v>
      </c>
      <c r="M80" s="14"/>
      <c r="N80" s="17"/>
    </row>
    <row r="81" spans="1:14" ht="12.75">
      <c r="A81" s="17"/>
      <c r="D81" s="143" t="s">
        <v>499</v>
      </c>
      <c r="E81" s="144"/>
      <c r="F81" s="144"/>
      <c r="G81" s="144"/>
      <c r="H81" s="144"/>
      <c r="I81" s="144"/>
      <c r="K81" s="75">
        <v>0.172</v>
      </c>
      <c r="M81" s="14"/>
      <c r="N81" s="17"/>
    </row>
    <row r="82" spans="1:14" ht="12.75">
      <c r="A82" s="17"/>
      <c r="D82" s="143" t="s">
        <v>500</v>
      </c>
      <c r="E82" s="144"/>
      <c r="F82" s="144"/>
      <c r="G82" s="144"/>
      <c r="H82" s="144"/>
      <c r="I82" s="144"/>
      <c r="K82" s="75">
        <v>16.336</v>
      </c>
      <c r="M82" s="14"/>
      <c r="N82" s="17"/>
    </row>
    <row r="83" spans="1:14" ht="12.75">
      <c r="A83" s="17"/>
      <c r="D83" s="143" t="s">
        <v>501</v>
      </c>
      <c r="E83" s="144"/>
      <c r="F83" s="144"/>
      <c r="G83" s="144"/>
      <c r="H83" s="144"/>
      <c r="I83" s="144"/>
      <c r="K83" s="75">
        <v>1.908</v>
      </c>
      <c r="M83" s="14"/>
      <c r="N83" s="17"/>
    </row>
    <row r="84" spans="1:14" ht="12.75">
      <c r="A84" s="17"/>
      <c r="D84" s="143" t="s">
        <v>502</v>
      </c>
      <c r="E84" s="144"/>
      <c r="F84" s="144"/>
      <c r="G84" s="144"/>
      <c r="H84" s="144"/>
      <c r="I84" s="144"/>
      <c r="K84" s="75">
        <v>2.684</v>
      </c>
      <c r="M84" s="14"/>
      <c r="N84" s="17"/>
    </row>
    <row r="85" spans="1:14" ht="12.75">
      <c r="A85" s="17"/>
      <c r="D85" s="143" t="s">
        <v>503</v>
      </c>
      <c r="E85" s="144"/>
      <c r="F85" s="144"/>
      <c r="G85" s="144"/>
      <c r="H85" s="144"/>
      <c r="I85" s="144"/>
      <c r="K85" s="75">
        <v>1.116</v>
      </c>
      <c r="M85" s="14"/>
      <c r="N85" s="17"/>
    </row>
    <row r="86" spans="1:14" ht="12.75">
      <c r="A86" s="17"/>
      <c r="D86" s="143" t="s">
        <v>504</v>
      </c>
      <c r="E86" s="144"/>
      <c r="F86" s="144"/>
      <c r="G86" s="144"/>
      <c r="H86" s="144"/>
      <c r="I86" s="144"/>
      <c r="K86" s="75">
        <v>1.008</v>
      </c>
      <c r="M86" s="14"/>
      <c r="N86" s="17"/>
    </row>
    <row r="87" spans="1:14" ht="12.75">
      <c r="A87" s="17"/>
      <c r="D87" s="143" t="s">
        <v>505</v>
      </c>
      <c r="E87" s="144"/>
      <c r="F87" s="144"/>
      <c r="G87" s="144"/>
      <c r="H87" s="144"/>
      <c r="I87" s="144"/>
      <c r="K87" s="75">
        <v>0.38</v>
      </c>
      <c r="M87" s="14"/>
      <c r="N87" s="17"/>
    </row>
    <row r="88" spans="1:14" ht="12.75">
      <c r="A88" s="17"/>
      <c r="D88" s="143" t="s">
        <v>506</v>
      </c>
      <c r="E88" s="144"/>
      <c r="F88" s="144"/>
      <c r="G88" s="144"/>
      <c r="H88" s="144"/>
      <c r="I88" s="144"/>
      <c r="K88" s="75">
        <v>21</v>
      </c>
      <c r="M88" s="14"/>
      <c r="N88" s="17"/>
    </row>
    <row r="89" spans="1:14" ht="12.75">
      <c r="A89" s="17"/>
      <c r="D89" s="143" t="s">
        <v>507</v>
      </c>
      <c r="E89" s="144"/>
      <c r="F89" s="144"/>
      <c r="G89" s="144"/>
      <c r="H89" s="144"/>
      <c r="I89" s="144"/>
      <c r="K89" s="75">
        <v>5.84</v>
      </c>
      <c r="M89" s="14"/>
      <c r="N89" s="17"/>
    </row>
    <row r="90" spans="1:14" ht="12.75">
      <c r="A90" s="17"/>
      <c r="D90" s="143" t="s">
        <v>508</v>
      </c>
      <c r="E90" s="144"/>
      <c r="F90" s="144"/>
      <c r="G90" s="144"/>
      <c r="H90" s="144"/>
      <c r="I90" s="144"/>
      <c r="K90" s="75">
        <v>0.52</v>
      </c>
      <c r="M90" s="14"/>
      <c r="N90" s="17"/>
    </row>
    <row r="91" spans="1:64" ht="12.75">
      <c r="A91" s="38" t="s">
        <v>91</v>
      </c>
      <c r="B91" s="45" t="s">
        <v>61</v>
      </c>
      <c r="C91" s="45" t="s">
        <v>276</v>
      </c>
      <c r="D91" s="141" t="s">
        <v>509</v>
      </c>
      <c r="E91" s="142"/>
      <c r="F91" s="142"/>
      <c r="G91" s="142"/>
      <c r="H91" s="142"/>
      <c r="I91" s="142"/>
      <c r="J91" s="45" t="s">
        <v>973</v>
      </c>
      <c r="K91" s="74">
        <v>42.466</v>
      </c>
      <c r="L91" s="53">
        <v>0</v>
      </c>
      <c r="M91" s="65">
        <f>K91*L91</f>
        <v>0</v>
      </c>
      <c r="N91" s="17"/>
      <c r="Z91" s="33">
        <f>IF(AQ91="5",BJ91,0)</f>
        <v>0</v>
      </c>
      <c r="AB91" s="33">
        <f>IF(AQ91="1",BH91,0)</f>
        <v>0</v>
      </c>
      <c r="AC91" s="33">
        <f>IF(AQ91="1",BI91,0)</f>
        <v>0</v>
      </c>
      <c r="AD91" s="33">
        <f>IF(AQ91="7",BH91,0)</f>
        <v>0</v>
      </c>
      <c r="AE91" s="33">
        <f>IF(AQ91="7",BI91,0)</f>
        <v>0</v>
      </c>
      <c r="AF91" s="33">
        <f>IF(AQ91="2",BH91,0)</f>
        <v>0</v>
      </c>
      <c r="AG91" s="33">
        <f>IF(AQ91="2",BI91,0)</f>
        <v>0</v>
      </c>
      <c r="AH91" s="33">
        <f>IF(AQ91="0",BJ91,0)</f>
        <v>0</v>
      </c>
      <c r="AI91" s="58" t="s">
        <v>61</v>
      </c>
      <c r="AJ91" s="53">
        <f>IF(AN91=0,M91,0)</f>
        <v>0</v>
      </c>
      <c r="AK91" s="53">
        <f>IF(AN91=15,M91,0)</f>
        <v>0</v>
      </c>
      <c r="AL91" s="53">
        <f>IF(AN91=21,M91,0)</f>
        <v>0</v>
      </c>
      <c r="AN91" s="33">
        <v>21</v>
      </c>
      <c r="AO91" s="33">
        <f>L91*0</f>
        <v>0</v>
      </c>
      <c r="AP91" s="33">
        <f>L91*(1-0)</f>
        <v>0</v>
      </c>
      <c r="AQ91" s="59" t="s">
        <v>80</v>
      </c>
      <c r="AV91" s="33">
        <f>AW91+AX91</f>
        <v>0</v>
      </c>
      <c r="AW91" s="33">
        <f>K91*AO91</f>
        <v>0</v>
      </c>
      <c r="AX91" s="33">
        <f>K91*AP91</f>
        <v>0</v>
      </c>
      <c r="AY91" s="61" t="s">
        <v>991</v>
      </c>
      <c r="AZ91" s="61" t="s">
        <v>1018</v>
      </c>
      <c r="BA91" s="58" t="s">
        <v>1037</v>
      </c>
      <c r="BC91" s="33">
        <f>AW91+AX91</f>
        <v>0</v>
      </c>
      <c r="BD91" s="33">
        <f>L91/(100-BE91)*100</f>
        <v>0</v>
      </c>
      <c r="BE91" s="33">
        <v>0</v>
      </c>
      <c r="BF91" s="33">
        <f>91</f>
        <v>91</v>
      </c>
      <c r="BH91" s="53">
        <f>K91*AO91</f>
        <v>0</v>
      </c>
      <c r="BI91" s="53">
        <f>K91*AP91</f>
        <v>0</v>
      </c>
      <c r="BJ91" s="53">
        <f>K91*L91</f>
        <v>0</v>
      </c>
      <c r="BK91" s="53" t="s">
        <v>1046</v>
      </c>
      <c r="BL91" s="33">
        <v>13</v>
      </c>
    </row>
    <row r="92" spans="1:14" ht="12.75">
      <c r="A92" s="17"/>
      <c r="D92" s="143" t="s">
        <v>510</v>
      </c>
      <c r="E92" s="144"/>
      <c r="F92" s="144"/>
      <c r="G92" s="144"/>
      <c r="H92" s="144"/>
      <c r="I92" s="144"/>
      <c r="K92" s="75">
        <v>42.466</v>
      </c>
      <c r="M92" s="14"/>
      <c r="N92" s="17"/>
    </row>
    <row r="93" spans="1:47" ht="12.75">
      <c r="A93" s="37"/>
      <c r="B93" s="44" t="s">
        <v>61</v>
      </c>
      <c r="C93" s="44" t="s">
        <v>94</v>
      </c>
      <c r="D93" s="139" t="s">
        <v>511</v>
      </c>
      <c r="E93" s="140"/>
      <c r="F93" s="140"/>
      <c r="G93" s="140"/>
      <c r="H93" s="140"/>
      <c r="I93" s="140"/>
      <c r="J93" s="50" t="s">
        <v>59</v>
      </c>
      <c r="K93" s="50" t="s">
        <v>59</v>
      </c>
      <c r="L93" s="50" t="s">
        <v>59</v>
      </c>
      <c r="M93" s="64">
        <f>SUM(M94:M108)</f>
        <v>0</v>
      </c>
      <c r="N93" s="17"/>
      <c r="AI93" s="58" t="s">
        <v>61</v>
      </c>
      <c r="AS93" s="68">
        <f>SUM(AJ94:AJ108)</f>
        <v>0</v>
      </c>
      <c r="AT93" s="68">
        <f>SUM(AK94:AK108)</f>
        <v>0</v>
      </c>
      <c r="AU93" s="68">
        <f>SUM(AL94:AL108)</f>
        <v>0</v>
      </c>
    </row>
    <row r="94" spans="1:64" ht="12.75">
      <c r="A94" s="38" t="s">
        <v>92</v>
      </c>
      <c r="B94" s="45" t="s">
        <v>61</v>
      </c>
      <c r="C94" s="45" t="s">
        <v>277</v>
      </c>
      <c r="D94" s="141" t="s">
        <v>512</v>
      </c>
      <c r="E94" s="142"/>
      <c r="F94" s="142"/>
      <c r="G94" s="142"/>
      <c r="H94" s="142"/>
      <c r="I94" s="142"/>
      <c r="J94" s="45" t="s">
        <v>972</v>
      </c>
      <c r="K94" s="74">
        <v>615</v>
      </c>
      <c r="L94" s="53">
        <v>0</v>
      </c>
      <c r="M94" s="65">
        <f>K94*L94</f>
        <v>0</v>
      </c>
      <c r="N94" s="17"/>
      <c r="Z94" s="33">
        <f>IF(AQ94="5",BJ94,0)</f>
        <v>0</v>
      </c>
      <c r="AB94" s="33">
        <f>IF(AQ94="1",BH94,0)</f>
        <v>0</v>
      </c>
      <c r="AC94" s="33">
        <f>IF(AQ94="1",BI94,0)</f>
        <v>0</v>
      </c>
      <c r="AD94" s="33">
        <f>IF(AQ94="7",BH94,0)</f>
        <v>0</v>
      </c>
      <c r="AE94" s="33">
        <f>IF(AQ94="7",BI94,0)</f>
        <v>0</v>
      </c>
      <c r="AF94" s="33">
        <f>IF(AQ94="2",BH94,0)</f>
        <v>0</v>
      </c>
      <c r="AG94" s="33">
        <f>IF(AQ94="2",BI94,0)</f>
        <v>0</v>
      </c>
      <c r="AH94" s="33">
        <f>IF(AQ94="0",BJ94,0)</f>
        <v>0</v>
      </c>
      <c r="AI94" s="58" t="s">
        <v>61</v>
      </c>
      <c r="AJ94" s="53">
        <f>IF(AN94=0,M94,0)</f>
        <v>0</v>
      </c>
      <c r="AK94" s="53">
        <f>IF(AN94=15,M94,0)</f>
        <v>0</v>
      </c>
      <c r="AL94" s="53">
        <f>IF(AN94=21,M94,0)</f>
        <v>0</v>
      </c>
      <c r="AN94" s="33">
        <v>21</v>
      </c>
      <c r="AO94" s="33">
        <f>L94*0.0866734093135254</f>
        <v>0</v>
      </c>
      <c r="AP94" s="33">
        <f>L94*(1-0.0866734093135254)</f>
        <v>0</v>
      </c>
      <c r="AQ94" s="59" t="s">
        <v>80</v>
      </c>
      <c r="AV94" s="33">
        <f>AW94+AX94</f>
        <v>0</v>
      </c>
      <c r="AW94" s="33">
        <f>K94*AO94</f>
        <v>0</v>
      </c>
      <c r="AX94" s="33">
        <f>K94*AP94</f>
        <v>0</v>
      </c>
      <c r="AY94" s="61" t="s">
        <v>992</v>
      </c>
      <c r="AZ94" s="61" t="s">
        <v>1018</v>
      </c>
      <c r="BA94" s="58" t="s">
        <v>1037</v>
      </c>
      <c r="BC94" s="33">
        <f>AW94+AX94</f>
        <v>0</v>
      </c>
      <c r="BD94" s="33">
        <f>L94/(100-BE94)*100</f>
        <v>0</v>
      </c>
      <c r="BE94" s="33">
        <v>0</v>
      </c>
      <c r="BF94" s="33">
        <f>94</f>
        <v>94</v>
      </c>
      <c r="BH94" s="53">
        <f>K94*AO94</f>
        <v>0</v>
      </c>
      <c r="BI94" s="53">
        <f>K94*AP94</f>
        <v>0</v>
      </c>
      <c r="BJ94" s="53">
        <f>K94*L94</f>
        <v>0</v>
      </c>
      <c r="BK94" s="53" t="s">
        <v>1046</v>
      </c>
      <c r="BL94" s="33">
        <v>15</v>
      </c>
    </row>
    <row r="95" spans="1:14" ht="12.75">
      <c r="A95" s="17"/>
      <c r="D95" s="143" t="s">
        <v>513</v>
      </c>
      <c r="E95" s="144"/>
      <c r="F95" s="144"/>
      <c r="G95" s="144"/>
      <c r="H95" s="144"/>
      <c r="I95" s="144"/>
      <c r="K95" s="75">
        <v>123.8</v>
      </c>
      <c r="M95" s="14"/>
      <c r="N95" s="17"/>
    </row>
    <row r="96" spans="1:14" ht="12.75">
      <c r="A96" s="17"/>
      <c r="D96" s="143" t="s">
        <v>514</v>
      </c>
      <c r="E96" s="144"/>
      <c r="F96" s="144"/>
      <c r="G96" s="144"/>
      <c r="H96" s="144"/>
      <c r="I96" s="144"/>
      <c r="K96" s="75">
        <v>53.8</v>
      </c>
      <c r="M96" s="14"/>
      <c r="N96" s="17"/>
    </row>
    <row r="97" spans="1:14" ht="12.75">
      <c r="A97" s="17"/>
      <c r="D97" s="143" t="s">
        <v>515</v>
      </c>
      <c r="E97" s="144"/>
      <c r="F97" s="144"/>
      <c r="G97" s="144"/>
      <c r="H97" s="144"/>
      <c r="I97" s="144"/>
      <c r="K97" s="75">
        <v>36</v>
      </c>
      <c r="M97" s="14"/>
      <c r="N97" s="17"/>
    </row>
    <row r="98" spans="1:14" ht="12.75">
      <c r="A98" s="17"/>
      <c r="D98" s="143" t="s">
        <v>516</v>
      </c>
      <c r="E98" s="144"/>
      <c r="F98" s="144"/>
      <c r="G98" s="144"/>
      <c r="H98" s="144"/>
      <c r="I98" s="144"/>
      <c r="K98" s="75">
        <v>18</v>
      </c>
      <c r="M98" s="14"/>
      <c r="N98" s="17"/>
    </row>
    <row r="99" spans="1:14" ht="12.75">
      <c r="A99" s="17"/>
      <c r="D99" s="143" t="s">
        <v>517</v>
      </c>
      <c r="E99" s="144"/>
      <c r="F99" s="144"/>
      <c r="G99" s="144"/>
      <c r="H99" s="144"/>
      <c r="I99" s="144"/>
      <c r="K99" s="75">
        <v>120</v>
      </c>
      <c r="M99" s="14"/>
      <c r="N99" s="17"/>
    </row>
    <row r="100" spans="1:14" ht="12.75">
      <c r="A100" s="17"/>
      <c r="D100" s="143" t="s">
        <v>518</v>
      </c>
      <c r="E100" s="144"/>
      <c r="F100" s="144"/>
      <c r="G100" s="144"/>
      <c r="H100" s="144"/>
      <c r="I100" s="144"/>
      <c r="K100" s="75">
        <v>18</v>
      </c>
      <c r="M100" s="14"/>
      <c r="N100" s="17"/>
    </row>
    <row r="101" spans="1:14" ht="12.75">
      <c r="A101" s="17"/>
      <c r="D101" s="143" t="s">
        <v>519</v>
      </c>
      <c r="E101" s="144"/>
      <c r="F101" s="144"/>
      <c r="G101" s="144"/>
      <c r="H101" s="144"/>
      <c r="I101" s="144"/>
      <c r="K101" s="75">
        <v>24</v>
      </c>
      <c r="M101" s="14"/>
      <c r="N101" s="17"/>
    </row>
    <row r="102" spans="1:14" ht="12.75">
      <c r="A102" s="17"/>
      <c r="D102" s="143" t="s">
        <v>520</v>
      </c>
      <c r="E102" s="144"/>
      <c r="F102" s="144"/>
      <c r="G102" s="144"/>
      <c r="H102" s="144"/>
      <c r="I102" s="144"/>
      <c r="K102" s="75">
        <v>10</v>
      </c>
      <c r="M102" s="14"/>
      <c r="N102" s="17"/>
    </row>
    <row r="103" spans="1:14" ht="12.75">
      <c r="A103" s="17"/>
      <c r="D103" s="143" t="s">
        <v>521</v>
      </c>
      <c r="E103" s="144"/>
      <c r="F103" s="144"/>
      <c r="G103" s="144"/>
      <c r="H103" s="144"/>
      <c r="I103" s="144"/>
      <c r="K103" s="75">
        <v>9</v>
      </c>
      <c r="M103" s="14"/>
      <c r="N103" s="17"/>
    </row>
    <row r="104" spans="1:14" ht="12.75">
      <c r="A104" s="17"/>
      <c r="D104" s="143" t="s">
        <v>522</v>
      </c>
      <c r="E104" s="144"/>
      <c r="F104" s="144"/>
      <c r="G104" s="144"/>
      <c r="H104" s="144"/>
      <c r="I104" s="144"/>
      <c r="K104" s="75">
        <v>182</v>
      </c>
      <c r="M104" s="14"/>
      <c r="N104" s="17"/>
    </row>
    <row r="105" spans="1:14" ht="12.75">
      <c r="A105" s="17"/>
      <c r="D105" s="143" t="s">
        <v>523</v>
      </c>
      <c r="E105" s="144"/>
      <c r="F105" s="144"/>
      <c r="G105" s="144"/>
      <c r="H105" s="144"/>
      <c r="I105" s="144"/>
      <c r="K105" s="75">
        <v>12.4</v>
      </c>
      <c r="M105" s="14"/>
      <c r="N105" s="17"/>
    </row>
    <row r="106" spans="1:14" ht="12.75">
      <c r="A106" s="17"/>
      <c r="D106" s="143" t="s">
        <v>524</v>
      </c>
      <c r="E106" s="144"/>
      <c r="F106" s="144"/>
      <c r="G106" s="144"/>
      <c r="H106" s="144"/>
      <c r="I106" s="144"/>
      <c r="K106" s="75">
        <v>6</v>
      </c>
      <c r="M106" s="14"/>
      <c r="N106" s="17"/>
    </row>
    <row r="107" spans="1:14" ht="12.75">
      <c r="A107" s="17"/>
      <c r="D107" s="143" t="s">
        <v>525</v>
      </c>
      <c r="E107" s="144"/>
      <c r="F107" s="144"/>
      <c r="G107" s="144"/>
      <c r="H107" s="144"/>
      <c r="I107" s="144"/>
      <c r="K107" s="75">
        <v>2</v>
      </c>
      <c r="M107" s="14"/>
      <c r="N107" s="17"/>
    </row>
    <row r="108" spans="1:64" ht="12.75">
      <c r="A108" s="38" t="s">
        <v>93</v>
      </c>
      <c r="B108" s="45" t="s">
        <v>61</v>
      </c>
      <c r="C108" s="45" t="s">
        <v>278</v>
      </c>
      <c r="D108" s="141" t="s">
        <v>526</v>
      </c>
      <c r="E108" s="142"/>
      <c r="F108" s="142"/>
      <c r="G108" s="142"/>
      <c r="H108" s="142"/>
      <c r="I108" s="142"/>
      <c r="J108" s="45" t="s">
        <v>972</v>
      </c>
      <c r="K108" s="74">
        <v>615</v>
      </c>
      <c r="L108" s="53">
        <v>0</v>
      </c>
      <c r="M108" s="65">
        <f>K108*L108</f>
        <v>0</v>
      </c>
      <c r="N108" s="17"/>
      <c r="Z108" s="33">
        <f>IF(AQ108="5",BJ108,0)</f>
        <v>0</v>
      </c>
      <c r="AB108" s="33">
        <f>IF(AQ108="1",BH108,0)</f>
        <v>0</v>
      </c>
      <c r="AC108" s="33">
        <f>IF(AQ108="1",BI108,0)</f>
        <v>0</v>
      </c>
      <c r="AD108" s="33">
        <f>IF(AQ108="7",BH108,0)</f>
        <v>0</v>
      </c>
      <c r="AE108" s="33">
        <f>IF(AQ108="7",BI108,0)</f>
        <v>0</v>
      </c>
      <c r="AF108" s="33">
        <f>IF(AQ108="2",BH108,0)</f>
        <v>0</v>
      </c>
      <c r="AG108" s="33">
        <f>IF(AQ108="2",BI108,0)</f>
        <v>0</v>
      </c>
      <c r="AH108" s="33">
        <f>IF(AQ108="0",BJ108,0)</f>
        <v>0</v>
      </c>
      <c r="AI108" s="58" t="s">
        <v>61</v>
      </c>
      <c r="AJ108" s="53">
        <f>IF(AN108=0,M108,0)</f>
        <v>0</v>
      </c>
      <c r="AK108" s="53">
        <f>IF(AN108=15,M108,0)</f>
        <v>0</v>
      </c>
      <c r="AL108" s="53">
        <f>IF(AN108=21,M108,0)</f>
        <v>0</v>
      </c>
      <c r="AN108" s="33">
        <v>21</v>
      </c>
      <c r="AO108" s="33">
        <f>L108*0</f>
        <v>0</v>
      </c>
      <c r="AP108" s="33">
        <f>L108*(1-0)</f>
        <v>0</v>
      </c>
      <c r="AQ108" s="59" t="s">
        <v>80</v>
      </c>
      <c r="AV108" s="33">
        <f>AW108+AX108</f>
        <v>0</v>
      </c>
      <c r="AW108" s="33">
        <f>K108*AO108</f>
        <v>0</v>
      </c>
      <c r="AX108" s="33">
        <f>K108*AP108</f>
        <v>0</v>
      </c>
      <c r="AY108" s="61" t="s">
        <v>992</v>
      </c>
      <c r="AZ108" s="61" t="s">
        <v>1018</v>
      </c>
      <c r="BA108" s="58" t="s">
        <v>1037</v>
      </c>
      <c r="BC108" s="33">
        <f>AW108+AX108</f>
        <v>0</v>
      </c>
      <c r="BD108" s="33">
        <f>L108/(100-BE108)*100</f>
        <v>0</v>
      </c>
      <c r="BE108" s="33">
        <v>0</v>
      </c>
      <c r="BF108" s="33">
        <f>108</f>
        <v>108</v>
      </c>
      <c r="BH108" s="53">
        <f>K108*AO108</f>
        <v>0</v>
      </c>
      <c r="BI108" s="53">
        <f>K108*AP108</f>
        <v>0</v>
      </c>
      <c r="BJ108" s="53">
        <f>K108*L108</f>
        <v>0</v>
      </c>
      <c r="BK108" s="53" t="s">
        <v>1046</v>
      </c>
      <c r="BL108" s="33">
        <v>15</v>
      </c>
    </row>
    <row r="109" spans="1:14" ht="12.75">
      <c r="A109" s="17"/>
      <c r="D109" s="143" t="s">
        <v>527</v>
      </c>
      <c r="E109" s="144"/>
      <c r="F109" s="144"/>
      <c r="G109" s="144"/>
      <c r="H109" s="144"/>
      <c r="I109" s="144"/>
      <c r="K109" s="75">
        <v>615</v>
      </c>
      <c r="M109" s="14"/>
      <c r="N109" s="17"/>
    </row>
    <row r="110" spans="1:47" ht="12.75">
      <c r="A110" s="37"/>
      <c r="B110" s="44" t="s">
        <v>61</v>
      </c>
      <c r="C110" s="44" t="s">
        <v>95</v>
      </c>
      <c r="D110" s="139" t="s">
        <v>528</v>
      </c>
      <c r="E110" s="140"/>
      <c r="F110" s="140"/>
      <c r="G110" s="140"/>
      <c r="H110" s="140"/>
      <c r="I110" s="140"/>
      <c r="J110" s="50" t="s">
        <v>59</v>
      </c>
      <c r="K110" s="50" t="s">
        <v>59</v>
      </c>
      <c r="L110" s="50" t="s">
        <v>59</v>
      </c>
      <c r="M110" s="64">
        <f>SUM(M111:M113)</f>
        <v>0</v>
      </c>
      <c r="N110" s="17"/>
      <c r="AI110" s="58" t="s">
        <v>61</v>
      </c>
      <c r="AS110" s="68">
        <f>SUM(AJ111:AJ113)</f>
        <v>0</v>
      </c>
      <c r="AT110" s="68">
        <f>SUM(AK111:AK113)</f>
        <v>0</v>
      </c>
      <c r="AU110" s="68">
        <f>SUM(AL111:AL113)</f>
        <v>0</v>
      </c>
    </row>
    <row r="111" spans="1:64" ht="12.75">
      <c r="A111" s="38" t="s">
        <v>94</v>
      </c>
      <c r="B111" s="45" t="s">
        <v>61</v>
      </c>
      <c r="C111" s="45" t="s">
        <v>279</v>
      </c>
      <c r="D111" s="141" t="s">
        <v>529</v>
      </c>
      <c r="E111" s="142"/>
      <c r="F111" s="142"/>
      <c r="G111" s="142"/>
      <c r="H111" s="142"/>
      <c r="I111" s="142"/>
      <c r="J111" s="45" t="s">
        <v>973</v>
      </c>
      <c r="K111" s="74">
        <v>212.33</v>
      </c>
      <c r="L111" s="53">
        <v>0</v>
      </c>
      <c r="M111" s="65">
        <f>K111*L111</f>
        <v>0</v>
      </c>
      <c r="N111" s="17"/>
      <c r="Z111" s="33">
        <f>IF(AQ111="5",BJ111,0)</f>
        <v>0</v>
      </c>
      <c r="AB111" s="33">
        <f>IF(AQ111="1",BH111,0)</f>
        <v>0</v>
      </c>
      <c r="AC111" s="33">
        <f>IF(AQ111="1",BI111,0)</f>
        <v>0</v>
      </c>
      <c r="AD111" s="33">
        <f>IF(AQ111="7",BH111,0)</f>
        <v>0</v>
      </c>
      <c r="AE111" s="33">
        <f>IF(AQ111="7",BI111,0)</f>
        <v>0</v>
      </c>
      <c r="AF111" s="33">
        <f>IF(AQ111="2",BH111,0)</f>
        <v>0</v>
      </c>
      <c r="AG111" s="33">
        <f>IF(AQ111="2",BI111,0)</f>
        <v>0</v>
      </c>
      <c r="AH111" s="33">
        <f>IF(AQ111="0",BJ111,0)</f>
        <v>0</v>
      </c>
      <c r="AI111" s="58" t="s">
        <v>61</v>
      </c>
      <c r="AJ111" s="53">
        <f>IF(AN111=0,M111,0)</f>
        <v>0</v>
      </c>
      <c r="AK111" s="53">
        <f>IF(AN111=15,M111,0)</f>
        <v>0</v>
      </c>
      <c r="AL111" s="53">
        <f>IF(AN111=21,M111,0)</f>
        <v>0</v>
      </c>
      <c r="AN111" s="33">
        <v>21</v>
      </c>
      <c r="AO111" s="33">
        <f>L111*0</f>
        <v>0</v>
      </c>
      <c r="AP111" s="33">
        <f>L111*(1-0)</f>
        <v>0</v>
      </c>
      <c r="AQ111" s="59" t="s">
        <v>80</v>
      </c>
      <c r="AV111" s="33">
        <f>AW111+AX111</f>
        <v>0</v>
      </c>
      <c r="AW111" s="33">
        <f>K111*AO111</f>
        <v>0</v>
      </c>
      <c r="AX111" s="33">
        <f>K111*AP111</f>
        <v>0</v>
      </c>
      <c r="AY111" s="61" t="s">
        <v>993</v>
      </c>
      <c r="AZ111" s="61" t="s">
        <v>1018</v>
      </c>
      <c r="BA111" s="58" t="s">
        <v>1037</v>
      </c>
      <c r="BC111" s="33">
        <f>AW111+AX111</f>
        <v>0</v>
      </c>
      <c r="BD111" s="33">
        <f>L111/(100-BE111)*100</f>
        <v>0</v>
      </c>
      <c r="BE111" s="33">
        <v>0</v>
      </c>
      <c r="BF111" s="33">
        <f>111</f>
        <v>111</v>
      </c>
      <c r="BH111" s="53">
        <f>K111*AO111</f>
        <v>0</v>
      </c>
      <c r="BI111" s="53">
        <f>K111*AP111</f>
        <v>0</v>
      </c>
      <c r="BJ111" s="53">
        <f>K111*L111</f>
        <v>0</v>
      </c>
      <c r="BK111" s="53" t="s">
        <v>1046</v>
      </c>
      <c r="BL111" s="33">
        <v>16</v>
      </c>
    </row>
    <row r="112" spans="1:14" ht="12.75">
      <c r="A112" s="17"/>
      <c r="D112" s="143" t="s">
        <v>530</v>
      </c>
      <c r="E112" s="144"/>
      <c r="F112" s="144"/>
      <c r="G112" s="144"/>
      <c r="H112" s="144"/>
      <c r="I112" s="144"/>
      <c r="K112" s="75">
        <v>212.33</v>
      </c>
      <c r="M112" s="14"/>
      <c r="N112" s="17"/>
    </row>
    <row r="113" spans="1:64" ht="12.75">
      <c r="A113" s="38" t="s">
        <v>95</v>
      </c>
      <c r="B113" s="45" t="s">
        <v>61</v>
      </c>
      <c r="C113" s="45" t="s">
        <v>280</v>
      </c>
      <c r="D113" s="141" t="s">
        <v>531</v>
      </c>
      <c r="E113" s="142"/>
      <c r="F113" s="142"/>
      <c r="G113" s="142"/>
      <c r="H113" s="142"/>
      <c r="I113" s="142"/>
      <c r="J113" s="45" t="s">
        <v>973</v>
      </c>
      <c r="K113" s="74">
        <v>849.32</v>
      </c>
      <c r="L113" s="53">
        <v>0</v>
      </c>
      <c r="M113" s="65">
        <f>K113*L113</f>
        <v>0</v>
      </c>
      <c r="N113" s="17"/>
      <c r="Z113" s="33">
        <f>IF(AQ113="5",BJ113,0)</f>
        <v>0</v>
      </c>
      <c r="AB113" s="33">
        <f>IF(AQ113="1",BH113,0)</f>
        <v>0</v>
      </c>
      <c r="AC113" s="33">
        <f>IF(AQ113="1",BI113,0)</f>
        <v>0</v>
      </c>
      <c r="AD113" s="33">
        <f>IF(AQ113="7",BH113,0)</f>
        <v>0</v>
      </c>
      <c r="AE113" s="33">
        <f>IF(AQ113="7",BI113,0)</f>
        <v>0</v>
      </c>
      <c r="AF113" s="33">
        <f>IF(AQ113="2",BH113,0)</f>
        <v>0</v>
      </c>
      <c r="AG113" s="33">
        <f>IF(AQ113="2",BI113,0)</f>
        <v>0</v>
      </c>
      <c r="AH113" s="33">
        <f>IF(AQ113="0",BJ113,0)</f>
        <v>0</v>
      </c>
      <c r="AI113" s="58" t="s">
        <v>61</v>
      </c>
      <c r="AJ113" s="53">
        <f>IF(AN113=0,M113,0)</f>
        <v>0</v>
      </c>
      <c r="AK113" s="53">
        <f>IF(AN113=15,M113,0)</f>
        <v>0</v>
      </c>
      <c r="AL113" s="53">
        <f>IF(AN113=21,M113,0)</f>
        <v>0</v>
      </c>
      <c r="AN113" s="33">
        <v>21</v>
      </c>
      <c r="AO113" s="33">
        <f>L113*0</f>
        <v>0</v>
      </c>
      <c r="AP113" s="33">
        <f>L113*(1-0)</f>
        <v>0</v>
      </c>
      <c r="AQ113" s="59" t="s">
        <v>80</v>
      </c>
      <c r="AV113" s="33">
        <f>AW113+AX113</f>
        <v>0</v>
      </c>
      <c r="AW113" s="33">
        <f>K113*AO113</f>
        <v>0</v>
      </c>
      <c r="AX113" s="33">
        <f>K113*AP113</f>
        <v>0</v>
      </c>
      <c r="AY113" s="61" t="s">
        <v>993</v>
      </c>
      <c r="AZ113" s="61" t="s">
        <v>1018</v>
      </c>
      <c r="BA113" s="58" t="s">
        <v>1037</v>
      </c>
      <c r="BC113" s="33">
        <f>AW113+AX113</f>
        <v>0</v>
      </c>
      <c r="BD113" s="33">
        <f>L113/(100-BE113)*100</f>
        <v>0</v>
      </c>
      <c r="BE113" s="33">
        <v>0</v>
      </c>
      <c r="BF113" s="33">
        <f>113</f>
        <v>113</v>
      </c>
      <c r="BH113" s="53">
        <f>K113*AO113</f>
        <v>0</v>
      </c>
      <c r="BI113" s="53">
        <f>K113*AP113</f>
        <v>0</v>
      </c>
      <c r="BJ113" s="53">
        <f>K113*L113</f>
        <v>0</v>
      </c>
      <c r="BK113" s="53" t="s">
        <v>1046</v>
      </c>
      <c r="BL113" s="33">
        <v>16</v>
      </c>
    </row>
    <row r="114" spans="1:14" ht="12.75">
      <c r="A114" s="17"/>
      <c r="D114" s="143" t="s">
        <v>532</v>
      </c>
      <c r="E114" s="144"/>
      <c r="F114" s="144"/>
      <c r="G114" s="144"/>
      <c r="H114" s="144"/>
      <c r="I114" s="144"/>
      <c r="K114" s="75">
        <v>849.32</v>
      </c>
      <c r="M114" s="14"/>
      <c r="N114" s="17"/>
    </row>
    <row r="115" spans="1:47" ht="12.75">
      <c r="A115" s="37"/>
      <c r="B115" s="44" t="s">
        <v>61</v>
      </c>
      <c r="C115" s="44" t="s">
        <v>96</v>
      </c>
      <c r="D115" s="139" t="s">
        <v>533</v>
      </c>
      <c r="E115" s="140"/>
      <c r="F115" s="140"/>
      <c r="G115" s="140"/>
      <c r="H115" s="140"/>
      <c r="I115" s="140"/>
      <c r="J115" s="50" t="s">
        <v>59</v>
      </c>
      <c r="K115" s="50" t="s">
        <v>59</v>
      </c>
      <c r="L115" s="50" t="s">
        <v>59</v>
      </c>
      <c r="M115" s="64">
        <f>SUM(M116:M171)</f>
        <v>0</v>
      </c>
      <c r="N115" s="17"/>
      <c r="AI115" s="58" t="s">
        <v>61</v>
      </c>
      <c r="AS115" s="68">
        <f>SUM(AJ116:AJ171)</f>
        <v>0</v>
      </c>
      <c r="AT115" s="68">
        <f>SUM(AK116:AK171)</f>
        <v>0</v>
      </c>
      <c r="AU115" s="68">
        <f>SUM(AL116:AL171)</f>
        <v>0</v>
      </c>
    </row>
    <row r="116" spans="1:64" ht="12.75">
      <c r="A116" s="38" t="s">
        <v>96</v>
      </c>
      <c r="B116" s="45" t="s">
        <v>61</v>
      </c>
      <c r="C116" s="45" t="s">
        <v>281</v>
      </c>
      <c r="D116" s="141" t="s">
        <v>534</v>
      </c>
      <c r="E116" s="142"/>
      <c r="F116" s="142"/>
      <c r="G116" s="142"/>
      <c r="H116" s="142"/>
      <c r="I116" s="142"/>
      <c r="J116" s="45" t="s">
        <v>973</v>
      </c>
      <c r="K116" s="74">
        <v>212.33</v>
      </c>
      <c r="L116" s="53">
        <v>0</v>
      </c>
      <c r="M116" s="65">
        <f>K116*L116</f>
        <v>0</v>
      </c>
      <c r="N116" s="17"/>
      <c r="Z116" s="33">
        <f>IF(AQ116="5",BJ116,0)</f>
        <v>0</v>
      </c>
      <c r="AB116" s="33">
        <f>IF(AQ116="1",BH116,0)</f>
        <v>0</v>
      </c>
      <c r="AC116" s="33">
        <f>IF(AQ116="1",BI116,0)</f>
        <v>0</v>
      </c>
      <c r="AD116" s="33">
        <f>IF(AQ116="7",BH116,0)</f>
        <v>0</v>
      </c>
      <c r="AE116" s="33">
        <f>IF(AQ116="7",BI116,0)</f>
        <v>0</v>
      </c>
      <c r="AF116" s="33">
        <f>IF(AQ116="2",BH116,0)</f>
        <v>0</v>
      </c>
      <c r="AG116" s="33">
        <f>IF(AQ116="2",BI116,0)</f>
        <v>0</v>
      </c>
      <c r="AH116" s="33">
        <f>IF(AQ116="0",BJ116,0)</f>
        <v>0</v>
      </c>
      <c r="AI116" s="58" t="s">
        <v>61</v>
      </c>
      <c r="AJ116" s="53">
        <f>IF(AN116=0,M116,0)</f>
        <v>0</v>
      </c>
      <c r="AK116" s="53">
        <f>IF(AN116=15,M116,0)</f>
        <v>0</v>
      </c>
      <c r="AL116" s="53">
        <f>IF(AN116=21,M116,0)</f>
        <v>0</v>
      </c>
      <c r="AN116" s="33">
        <v>21</v>
      </c>
      <c r="AO116" s="33">
        <f>L116*0</f>
        <v>0</v>
      </c>
      <c r="AP116" s="33">
        <f>L116*(1-0)</f>
        <v>0</v>
      </c>
      <c r="AQ116" s="59" t="s">
        <v>80</v>
      </c>
      <c r="AV116" s="33">
        <f>AW116+AX116</f>
        <v>0</v>
      </c>
      <c r="AW116" s="33">
        <f>K116*AO116</f>
        <v>0</v>
      </c>
      <c r="AX116" s="33">
        <f>K116*AP116</f>
        <v>0</v>
      </c>
      <c r="AY116" s="61" t="s">
        <v>994</v>
      </c>
      <c r="AZ116" s="61" t="s">
        <v>1018</v>
      </c>
      <c r="BA116" s="58" t="s">
        <v>1037</v>
      </c>
      <c r="BC116" s="33">
        <f>AW116+AX116</f>
        <v>0</v>
      </c>
      <c r="BD116" s="33">
        <f>L116/(100-BE116)*100</f>
        <v>0</v>
      </c>
      <c r="BE116" s="33">
        <v>0</v>
      </c>
      <c r="BF116" s="33">
        <f>116</f>
        <v>116</v>
      </c>
      <c r="BH116" s="53">
        <f>K116*AO116</f>
        <v>0</v>
      </c>
      <c r="BI116" s="53">
        <f>K116*AP116</f>
        <v>0</v>
      </c>
      <c r="BJ116" s="53">
        <f>K116*L116</f>
        <v>0</v>
      </c>
      <c r="BK116" s="53" t="s">
        <v>1046</v>
      </c>
      <c r="BL116" s="33">
        <v>17</v>
      </c>
    </row>
    <row r="117" spans="1:14" ht="12.75">
      <c r="A117" s="17"/>
      <c r="D117" s="143" t="s">
        <v>535</v>
      </c>
      <c r="E117" s="144"/>
      <c r="F117" s="144"/>
      <c r="G117" s="144"/>
      <c r="H117" s="144"/>
      <c r="I117" s="144"/>
      <c r="K117" s="75">
        <v>212.33</v>
      </c>
      <c r="M117" s="14"/>
      <c r="N117" s="17"/>
    </row>
    <row r="118" spans="1:64" ht="12.75">
      <c r="A118" s="38" t="s">
        <v>97</v>
      </c>
      <c r="B118" s="45" t="s">
        <v>61</v>
      </c>
      <c r="C118" s="45" t="s">
        <v>282</v>
      </c>
      <c r="D118" s="141" t="s">
        <v>536</v>
      </c>
      <c r="E118" s="142"/>
      <c r="F118" s="142"/>
      <c r="G118" s="142"/>
      <c r="H118" s="142"/>
      <c r="I118" s="142"/>
      <c r="J118" s="45" t="s">
        <v>973</v>
      </c>
      <c r="K118" s="74">
        <v>50.39</v>
      </c>
      <c r="L118" s="53">
        <v>0</v>
      </c>
      <c r="M118" s="65">
        <f>K118*L118</f>
        <v>0</v>
      </c>
      <c r="N118" s="17"/>
      <c r="Z118" s="33">
        <f>IF(AQ118="5",BJ118,0)</f>
        <v>0</v>
      </c>
      <c r="AB118" s="33">
        <f>IF(AQ118="1",BH118,0)</f>
        <v>0</v>
      </c>
      <c r="AC118" s="33">
        <f>IF(AQ118="1",BI118,0)</f>
        <v>0</v>
      </c>
      <c r="AD118" s="33">
        <f>IF(AQ118="7",BH118,0)</f>
        <v>0</v>
      </c>
      <c r="AE118" s="33">
        <f>IF(AQ118="7",BI118,0)</f>
        <v>0</v>
      </c>
      <c r="AF118" s="33">
        <f>IF(AQ118="2",BH118,0)</f>
        <v>0</v>
      </c>
      <c r="AG118" s="33">
        <f>IF(AQ118="2",BI118,0)</f>
        <v>0</v>
      </c>
      <c r="AH118" s="33">
        <f>IF(AQ118="0",BJ118,0)</f>
        <v>0</v>
      </c>
      <c r="AI118" s="58" t="s">
        <v>61</v>
      </c>
      <c r="AJ118" s="53">
        <f>IF(AN118=0,M118,0)</f>
        <v>0</v>
      </c>
      <c r="AK118" s="53">
        <f>IF(AN118=15,M118,0)</f>
        <v>0</v>
      </c>
      <c r="AL118" s="53">
        <f>IF(AN118=21,M118,0)</f>
        <v>0</v>
      </c>
      <c r="AN118" s="33">
        <v>21</v>
      </c>
      <c r="AO118" s="33">
        <f>L118*0</f>
        <v>0</v>
      </c>
      <c r="AP118" s="33">
        <f>L118*(1-0)</f>
        <v>0</v>
      </c>
      <c r="AQ118" s="59" t="s">
        <v>80</v>
      </c>
      <c r="AV118" s="33">
        <f>AW118+AX118</f>
        <v>0</v>
      </c>
      <c r="AW118" s="33">
        <f>K118*AO118</f>
        <v>0</v>
      </c>
      <c r="AX118" s="33">
        <f>K118*AP118</f>
        <v>0</v>
      </c>
      <c r="AY118" s="61" t="s">
        <v>994</v>
      </c>
      <c r="AZ118" s="61" t="s">
        <v>1018</v>
      </c>
      <c r="BA118" s="58" t="s">
        <v>1037</v>
      </c>
      <c r="BC118" s="33">
        <f>AW118+AX118</f>
        <v>0</v>
      </c>
      <c r="BD118" s="33">
        <f>L118/(100-BE118)*100</f>
        <v>0</v>
      </c>
      <c r="BE118" s="33">
        <v>0</v>
      </c>
      <c r="BF118" s="33">
        <f>118</f>
        <v>118</v>
      </c>
      <c r="BH118" s="53">
        <f>K118*AO118</f>
        <v>0</v>
      </c>
      <c r="BI118" s="53">
        <f>K118*AP118</f>
        <v>0</v>
      </c>
      <c r="BJ118" s="53">
        <f>K118*L118</f>
        <v>0</v>
      </c>
      <c r="BK118" s="53" t="s">
        <v>1046</v>
      </c>
      <c r="BL118" s="33">
        <v>17</v>
      </c>
    </row>
    <row r="119" spans="1:14" ht="12.75">
      <c r="A119" s="17"/>
      <c r="D119" s="143" t="s">
        <v>537</v>
      </c>
      <c r="E119" s="144"/>
      <c r="F119" s="144"/>
      <c r="G119" s="144"/>
      <c r="H119" s="144"/>
      <c r="I119" s="144"/>
      <c r="K119" s="75">
        <v>9.77</v>
      </c>
      <c r="M119" s="14"/>
      <c r="N119" s="17"/>
    </row>
    <row r="120" spans="1:14" ht="12.75">
      <c r="A120" s="17"/>
      <c r="D120" s="143" t="s">
        <v>538</v>
      </c>
      <c r="E120" s="144"/>
      <c r="F120" s="144"/>
      <c r="G120" s="144"/>
      <c r="H120" s="144"/>
      <c r="I120" s="144"/>
      <c r="K120" s="75">
        <v>6.83</v>
      </c>
      <c r="M120" s="14"/>
      <c r="N120" s="17"/>
    </row>
    <row r="121" spans="1:14" ht="12.75">
      <c r="A121" s="17"/>
      <c r="D121" s="143" t="s">
        <v>539</v>
      </c>
      <c r="E121" s="144"/>
      <c r="F121" s="144"/>
      <c r="G121" s="144"/>
      <c r="H121" s="144"/>
      <c r="I121" s="144"/>
      <c r="K121" s="75">
        <v>3.12</v>
      </c>
      <c r="M121" s="14"/>
      <c r="N121" s="17"/>
    </row>
    <row r="122" spans="1:14" ht="12.75">
      <c r="A122" s="17"/>
      <c r="D122" s="143" t="s">
        <v>540</v>
      </c>
      <c r="E122" s="144"/>
      <c r="F122" s="144"/>
      <c r="G122" s="144"/>
      <c r="H122" s="144"/>
      <c r="I122" s="144"/>
      <c r="K122" s="75">
        <v>14.6</v>
      </c>
      <c r="M122" s="14"/>
      <c r="N122" s="17"/>
    </row>
    <row r="123" spans="1:14" ht="12.75">
      <c r="A123" s="17"/>
      <c r="D123" s="143" t="s">
        <v>541</v>
      </c>
      <c r="E123" s="144"/>
      <c r="F123" s="144"/>
      <c r="G123" s="144"/>
      <c r="H123" s="144"/>
      <c r="I123" s="144"/>
      <c r="K123" s="75">
        <v>1.9</v>
      </c>
      <c r="M123" s="14"/>
      <c r="N123" s="17"/>
    </row>
    <row r="124" spans="1:14" ht="12.75">
      <c r="A124" s="17"/>
      <c r="D124" s="143" t="s">
        <v>542</v>
      </c>
      <c r="E124" s="144"/>
      <c r="F124" s="144"/>
      <c r="G124" s="144"/>
      <c r="H124" s="144"/>
      <c r="I124" s="144"/>
      <c r="K124" s="75">
        <v>3.5</v>
      </c>
      <c r="M124" s="14"/>
      <c r="N124" s="17"/>
    </row>
    <row r="125" spans="1:14" ht="12.75">
      <c r="A125" s="17"/>
      <c r="D125" s="143" t="s">
        <v>543</v>
      </c>
      <c r="E125" s="144"/>
      <c r="F125" s="144"/>
      <c r="G125" s="144"/>
      <c r="H125" s="144"/>
      <c r="I125" s="144"/>
      <c r="K125" s="75">
        <v>1.37</v>
      </c>
      <c r="M125" s="14"/>
      <c r="N125" s="17"/>
    </row>
    <row r="126" spans="1:14" ht="12.75">
      <c r="A126" s="17"/>
      <c r="D126" s="143" t="s">
        <v>544</v>
      </c>
      <c r="E126" s="144"/>
      <c r="F126" s="144"/>
      <c r="G126" s="144"/>
      <c r="H126" s="144"/>
      <c r="I126" s="144"/>
      <c r="K126" s="75">
        <v>1.69</v>
      </c>
      <c r="M126" s="14"/>
      <c r="N126" s="17"/>
    </row>
    <row r="127" spans="1:14" ht="12.75">
      <c r="A127" s="17"/>
      <c r="D127" s="143" t="s">
        <v>545</v>
      </c>
      <c r="E127" s="144"/>
      <c r="F127" s="144"/>
      <c r="G127" s="144"/>
      <c r="H127" s="144"/>
      <c r="I127" s="144"/>
      <c r="K127" s="75">
        <v>6.56</v>
      </c>
      <c r="M127" s="14"/>
      <c r="N127" s="17"/>
    </row>
    <row r="128" spans="1:14" ht="12.75">
      <c r="A128" s="17"/>
      <c r="D128" s="143" t="s">
        <v>546</v>
      </c>
      <c r="E128" s="144"/>
      <c r="F128" s="144"/>
      <c r="G128" s="144"/>
      <c r="H128" s="144"/>
      <c r="I128" s="144"/>
      <c r="K128" s="75">
        <v>1.05</v>
      </c>
      <c r="M128" s="14"/>
      <c r="N128" s="17"/>
    </row>
    <row r="129" spans="1:64" ht="12.75">
      <c r="A129" s="39" t="s">
        <v>98</v>
      </c>
      <c r="B129" s="46" t="s">
        <v>61</v>
      </c>
      <c r="C129" s="46" t="s">
        <v>283</v>
      </c>
      <c r="D129" s="148" t="s">
        <v>547</v>
      </c>
      <c r="E129" s="149"/>
      <c r="F129" s="149"/>
      <c r="G129" s="149"/>
      <c r="H129" s="149"/>
      <c r="I129" s="149"/>
      <c r="J129" s="46" t="s">
        <v>974</v>
      </c>
      <c r="K129" s="78">
        <v>99.626</v>
      </c>
      <c r="L129" s="54">
        <v>0</v>
      </c>
      <c r="M129" s="66">
        <f>K129*L129</f>
        <v>0</v>
      </c>
      <c r="N129" s="17"/>
      <c r="Z129" s="33">
        <f>IF(AQ129="5",BJ129,0)</f>
        <v>0</v>
      </c>
      <c r="AB129" s="33">
        <f>IF(AQ129="1",BH129,0)</f>
        <v>0</v>
      </c>
      <c r="AC129" s="33">
        <f>IF(AQ129="1",BI129,0)</f>
        <v>0</v>
      </c>
      <c r="AD129" s="33">
        <f>IF(AQ129="7",BH129,0)</f>
        <v>0</v>
      </c>
      <c r="AE129" s="33">
        <f>IF(AQ129="7",BI129,0)</f>
        <v>0</v>
      </c>
      <c r="AF129" s="33">
        <f>IF(AQ129="2",BH129,0)</f>
        <v>0</v>
      </c>
      <c r="AG129" s="33">
        <f>IF(AQ129="2",BI129,0)</f>
        <v>0</v>
      </c>
      <c r="AH129" s="33">
        <f>IF(AQ129="0",BJ129,0)</f>
        <v>0</v>
      </c>
      <c r="AI129" s="58" t="s">
        <v>61</v>
      </c>
      <c r="AJ129" s="54">
        <f>IF(AN129=0,M129,0)</f>
        <v>0</v>
      </c>
      <c r="AK129" s="54">
        <f>IF(AN129=15,M129,0)</f>
        <v>0</v>
      </c>
      <c r="AL129" s="54">
        <f>IF(AN129=21,M129,0)</f>
        <v>0</v>
      </c>
      <c r="AN129" s="33">
        <v>21</v>
      </c>
      <c r="AO129" s="33">
        <f>L129*1</f>
        <v>0</v>
      </c>
      <c r="AP129" s="33">
        <f>L129*(1-1)</f>
        <v>0</v>
      </c>
      <c r="AQ129" s="60" t="s">
        <v>80</v>
      </c>
      <c r="AV129" s="33">
        <f>AW129+AX129</f>
        <v>0</v>
      </c>
      <c r="AW129" s="33">
        <f>K129*AO129</f>
        <v>0</v>
      </c>
      <c r="AX129" s="33">
        <f>K129*AP129</f>
        <v>0</v>
      </c>
      <c r="AY129" s="61" t="s">
        <v>994</v>
      </c>
      <c r="AZ129" s="61" t="s">
        <v>1018</v>
      </c>
      <c r="BA129" s="58" t="s">
        <v>1037</v>
      </c>
      <c r="BC129" s="33">
        <f>AW129+AX129</f>
        <v>0</v>
      </c>
      <c r="BD129" s="33">
        <f>L129/(100-BE129)*100</f>
        <v>0</v>
      </c>
      <c r="BE129" s="33">
        <v>0</v>
      </c>
      <c r="BF129" s="33">
        <f>129</f>
        <v>129</v>
      </c>
      <c r="BH129" s="54">
        <f>K129*AO129</f>
        <v>0</v>
      </c>
      <c r="BI129" s="54">
        <f>K129*AP129</f>
        <v>0</v>
      </c>
      <c r="BJ129" s="54">
        <f>K129*L129</f>
        <v>0</v>
      </c>
      <c r="BK129" s="54" t="s">
        <v>1047</v>
      </c>
      <c r="BL129" s="33">
        <v>17</v>
      </c>
    </row>
    <row r="130" spans="1:14" ht="12.75">
      <c r="A130" s="17"/>
      <c r="D130" s="143" t="s">
        <v>548</v>
      </c>
      <c r="E130" s="144"/>
      <c r="F130" s="144"/>
      <c r="G130" s="144"/>
      <c r="H130" s="144"/>
      <c r="I130" s="144"/>
      <c r="K130" s="75">
        <v>98.64</v>
      </c>
      <c r="M130" s="14"/>
      <c r="N130" s="17"/>
    </row>
    <row r="131" spans="1:14" ht="12.75">
      <c r="A131" s="17"/>
      <c r="D131" s="143" t="s">
        <v>549</v>
      </c>
      <c r="E131" s="144"/>
      <c r="F131" s="144"/>
      <c r="G131" s="144"/>
      <c r="H131" s="144"/>
      <c r="I131" s="144"/>
      <c r="K131" s="75">
        <v>0.986</v>
      </c>
      <c r="M131" s="14"/>
      <c r="N131" s="17"/>
    </row>
    <row r="132" spans="1:64" ht="12.75">
      <c r="A132" s="38" t="s">
        <v>99</v>
      </c>
      <c r="B132" s="45" t="s">
        <v>61</v>
      </c>
      <c r="C132" s="45" t="s">
        <v>284</v>
      </c>
      <c r="D132" s="141" t="s">
        <v>550</v>
      </c>
      <c r="E132" s="142"/>
      <c r="F132" s="142"/>
      <c r="G132" s="142"/>
      <c r="H132" s="142"/>
      <c r="I132" s="142"/>
      <c r="J132" s="45" t="s">
        <v>973</v>
      </c>
      <c r="K132" s="74">
        <v>86.66</v>
      </c>
      <c r="L132" s="53">
        <v>0</v>
      </c>
      <c r="M132" s="65">
        <f>K132*L132</f>
        <v>0</v>
      </c>
      <c r="N132" s="17"/>
      <c r="Z132" s="33">
        <f>IF(AQ132="5",BJ132,0)</f>
        <v>0</v>
      </c>
      <c r="AB132" s="33">
        <f>IF(AQ132="1",BH132,0)</f>
        <v>0</v>
      </c>
      <c r="AC132" s="33">
        <f>IF(AQ132="1",BI132,0)</f>
        <v>0</v>
      </c>
      <c r="AD132" s="33">
        <f>IF(AQ132="7",BH132,0)</f>
        <v>0</v>
      </c>
      <c r="AE132" s="33">
        <f>IF(AQ132="7",BI132,0)</f>
        <v>0</v>
      </c>
      <c r="AF132" s="33">
        <f>IF(AQ132="2",BH132,0)</f>
        <v>0</v>
      </c>
      <c r="AG132" s="33">
        <f>IF(AQ132="2",BI132,0)</f>
        <v>0</v>
      </c>
      <c r="AH132" s="33">
        <f>IF(AQ132="0",BJ132,0)</f>
        <v>0</v>
      </c>
      <c r="AI132" s="58" t="s">
        <v>61</v>
      </c>
      <c r="AJ132" s="53">
        <f>IF(AN132=0,M132,0)</f>
        <v>0</v>
      </c>
      <c r="AK132" s="53">
        <f>IF(AN132=15,M132,0)</f>
        <v>0</v>
      </c>
      <c r="AL132" s="53">
        <f>IF(AN132=21,M132,0)</f>
        <v>0</v>
      </c>
      <c r="AN132" s="33">
        <v>21</v>
      </c>
      <c r="AO132" s="33">
        <f>L132*0</f>
        <v>0</v>
      </c>
      <c r="AP132" s="33">
        <f>L132*(1-0)</f>
        <v>0</v>
      </c>
      <c r="AQ132" s="59" t="s">
        <v>80</v>
      </c>
      <c r="AV132" s="33">
        <f>AW132+AX132</f>
        <v>0</v>
      </c>
      <c r="AW132" s="33">
        <f>K132*AO132</f>
        <v>0</v>
      </c>
      <c r="AX132" s="33">
        <f>K132*AP132</f>
        <v>0</v>
      </c>
      <c r="AY132" s="61" t="s">
        <v>994</v>
      </c>
      <c r="AZ132" s="61" t="s">
        <v>1018</v>
      </c>
      <c r="BA132" s="58" t="s">
        <v>1037</v>
      </c>
      <c r="BC132" s="33">
        <f>AW132+AX132</f>
        <v>0</v>
      </c>
      <c r="BD132" s="33">
        <f>L132/(100-BE132)*100</f>
        <v>0</v>
      </c>
      <c r="BE132" s="33">
        <v>0</v>
      </c>
      <c r="BF132" s="33">
        <f>132</f>
        <v>132</v>
      </c>
      <c r="BH132" s="53">
        <f>K132*AO132</f>
        <v>0</v>
      </c>
      <c r="BI132" s="53">
        <f>K132*AP132</f>
        <v>0</v>
      </c>
      <c r="BJ132" s="53">
        <f>K132*L132</f>
        <v>0</v>
      </c>
      <c r="BK132" s="53" t="s">
        <v>1046</v>
      </c>
      <c r="BL132" s="33">
        <v>17</v>
      </c>
    </row>
    <row r="133" spans="1:14" ht="12.75">
      <c r="A133" s="17"/>
      <c r="D133" s="143" t="s">
        <v>551</v>
      </c>
      <c r="E133" s="144"/>
      <c r="F133" s="144"/>
      <c r="G133" s="144"/>
      <c r="H133" s="144"/>
      <c r="I133" s="144"/>
      <c r="K133" s="75">
        <v>0</v>
      </c>
      <c r="M133" s="14"/>
      <c r="N133" s="17"/>
    </row>
    <row r="134" spans="1:14" ht="12.75">
      <c r="A134" s="17"/>
      <c r="D134" s="143" t="s">
        <v>552</v>
      </c>
      <c r="E134" s="144"/>
      <c r="F134" s="144"/>
      <c r="G134" s="144"/>
      <c r="H134" s="144"/>
      <c r="I134" s="144"/>
      <c r="K134" s="75">
        <v>8.42</v>
      </c>
      <c r="M134" s="14"/>
      <c r="N134" s="17"/>
    </row>
    <row r="135" spans="1:14" ht="12.75">
      <c r="A135" s="17"/>
      <c r="D135" s="143" t="s">
        <v>553</v>
      </c>
      <c r="E135" s="144"/>
      <c r="F135" s="144"/>
      <c r="G135" s="144"/>
      <c r="H135" s="144"/>
      <c r="I135" s="144"/>
      <c r="K135" s="75">
        <v>2.88</v>
      </c>
      <c r="M135" s="14"/>
      <c r="N135" s="17"/>
    </row>
    <row r="136" spans="1:14" ht="12.75">
      <c r="A136" s="17"/>
      <c r="D136" s="143" t="s">
        <v>554</v>
      </c>
      <c r="E136" s="144"/>
      <c r="F136" s="144"/>
      <c r="G136" s="144"/>
      <c r="H136" s="144"/>
      <c r="I136" s="144"/>
      <c r="K136" s="75">
        <v>1.68</v>
      </c>
      <c r="M136" s="14"/>
      <c r="N136" s="17"/>
    </row>
    <row r="137" spans="1:14" ht="12.75">
      <c r="A137" s="17"/>
      <c r="D137" s="143" t="s">
        <v>555</v>
      </c>
      <c r="E137" s="144"/>
      <c r="F137" s="144"/>
      <c r="G137" s="144"/>
      <c r="H137" s="144"/>
      <c r="I137" s="144"/>
      <c r="K137" s="75">
        <v>0.48</v>
      </c>
      <c r="M137" s="14"/>
      <c r="N137" s="17"/>
    </row>
    <row r="138" spans="1:14" ht="12.75">
      <c r="A138" s="17"/>
      <c r="D138" s="143" t="s">
        <v>556</v>
      </c>
      <c r="E138" s="144"/>
      <c r="F138" s="144"/>
      <c r="G138" s="144"/>
      <c r="H138" s="144"/>
      <c r="I138" s="144"/>
      <c r="K138" s="75">
        <v>0.07</v>
      </c>
      <c r="M138" s="14"/>
      <c r="N138" s="17"/>
    </row>
    <row r="139" spans="1:14" ht="12.75">
      <c r="A139" s="17"/>
      <c r="D139" s="143" t="s">
        <v>557</v>
      </c>
      <c r="E139" s="144"/>
      <c r="F139" s="144"/>
      <c r="G139" s="144"/>
      <c r="H139" s="144"/>
      <c r="I139" s="144"/>
      <c r="K139" s="75">
        <v>7.35</v>
      </c>
      <c r="M139" s="14"/>
      <c r="N139" s="17"/>
    </row>
    <row r="140" spans="1:14" ht="12.75">
      <c r="A140" s="17"/>
      <c r="D140" s="143" t="s">
        <v>558</v>
      </c>
      <c r="E140" s="144"/>
      <c r="F140" s="144"/>
      <c r="G140" s="144"/>
      <c r="H140" s="144"/>
      <c r="I140" s="144"/>
      <c r="K140" s="75">
        <v>0.78</v>
      </c>
      <c r="M140" s="14"/>
      <c r="N140" s="17"/>
    </row>
    <row r="141" spans="1:14" ht="12.75">
      <c r="A141" s="17"/>
      <c r="D141" s="143" t="s">
        <v>559</v>
      </c>
      <c r="E141" s="144"/>
      <c r="F141" s="144"/>
      <c r="G141" s="144"/>
      <c r="H141" s="144"/>
      <c r="I141" s="144"/>
      <c r="K141" s="75">
        <v>0.98</v>
      </c>
      <c r="M141" s="14"/>
      <c r="N141" s="17"/>
    </row>
    <row r="142" spans="1:14" ht="12.75">
      <c r="A142" s="17"/>
      <c r="D142" s="143" t="s">
        <v>560</v>
      </c>
      <c r="E142" s="144"/>
      <c r="F142" s="144"/>
      <c r="G142" s="144"/>
      <c r="H142" s="144"/>
      <c r="I142" s="144"/>
      <c r="K142" s="75">
        <v>0.48</v>
      </c>
      <c r="M142" s="14"/>
      <c r="N142" s="17"/>
    </row>
    <row r="143" spans="1:14" ht="12.75">
      <c r="A143" s="17"/>
      <c r="D143" s="143" t="s">
        <v>561</v>
      </c>
      <c r="E143" s="144"/>
      <c r="F143" s="144"/>
      <c r="G143" s="144"/>
      <c r="H143" s="144"/>
      <c r="I143" s="144"/>
      <c r="K143" s="75">
        <v>0.36</v>
      </c>
      <c r="M143" s="14"/>
      <c r="N143" s="17"/>
    </row>
    <row r="144" spans="1:14" ht="12.75">
      <c r="A144" s="17"/>
      <c r="D144" s="143" t="s">
        <v>562</v>
      </c>
      <c r="E144" s="144"/>
      <c r="F144" s="144"/>
      <c r="G144" s="144"/>
      <c r="H144" s="144"/>
      <c r="I144" s="144"/>
      <c r="K144" s="75">
        <v>0.16</v>
      </c>
      <c r="M144" s="14"/>
      <c r="N144" s="17"/>
    </row>
    <row r="145" spans="1:14" ht="12.75">
      <c r="A145" s="17"/>
      <c r="D145" s="143" t="s">
        <v>563</v>
      </c>
      <c r="E145" s="144"/>
      <c r="F145" s="144"/>
      <c r="G145" s="144"/>
      <c r="H145" s="144"/>
      <c r="I145" s="144"/>
      <c r="K145" s="75">
        <v>7.92</v>
      </c>
      <c r="M145" s="14"/>
      <c r="N145" s="17"/>
    </row>
    <row r="146" spans="1:14" ht="12.75">
      <c r="A146" s="17"/>
      <c r="D146" s="143" t="s">
        <v>564</v>
      </c>
      <c r="E146" s="144"/>
      <c r="F146" s="144"/>
      <c r="G146" s="144"/>
      <c r="H146" s="144"/>
      <c r="I146" s="144"/>
      <c r="K146" s="75">
        <v>0.42</v>
      </c>
      <c r="M146" s="14"/>
      <c r="N146" s="17"/>
    </row>
    <row r="147" spans="1:14" ht="12.75">
      <c r="A147" s="17"/>
      <c r="D147" s="143" t="s">
        <v>565</v>
      </c>
      <c r="E147" s="144"/>
      <c r="F147" s="144"/>
      <c r="G147" s="144"/>
      <c r="H147" s="144"/>
      <c r="I147" s="144"/>
      <c r="K147" s="75">
        <v>0.12</v>
      </c>
      <c r="M147" s="14"/>
      <c r="N147" s="17"/>
    </row>
    <row r="148" spans="1:14" ht="12.75">
      <c r="A148" s="17"/>
      <c r="D148" s="143" t="s">
        <v>566</v>
      </c>
      <c r="E148" s="144"/>
      <c r="F148" s="144"/>
      <c r="G148" s="144"/>
      <c r="H148" s="144"/>
      <c r="I148" s="144"/>
      <c r="K148" s="75">
        <v>0.08</v>
      </c>
      <c r="M148" s="14"/>
      <c r="N148" s="17"/>
    </row>
    <row r="149" spans="1:14" ht="12.75">
      <c r="A149" s="17"/>
      <c r="D149" s="143" t="s">
        <v>567</v>
      </c>
      <c r="E149" s="144"/>
      <c r="F149" s="144"/>
      <c r="G149" s="144"/>
      <c r="H149" s="144"/>
      <c r="I149" s="144"/>
      <c r="K149" s="75">
        <v>0</v>
      </c>
      <c r="M149" s="14"/>
      <c r="N149" s="17"/>
    </row>
    <row r="150" spans="1:14" ht="12.75">
      <c r="A150" s="17"/>
      <c r="D150" s="143" t="s">
        <v>568</v>
      </c>
      <c r="E150" s="144"/>
      <c r="F150" s="144"/>
      <c r="G150" s="144"/>
      <c r="H150" s="144"/>
      <c r="I150" s="144"/>
      <c r="K150" s="75">
        <v>12.36</v>
      </c>
      <c r="M150" s="14"/>
      <c r="N150" s="17"/>
    </row>
    <row r="151" spans="1:14" ht="12.75">
      <c r="A151" s="17"/>
      <c r="D151" s="143" t="s">
        <v>569</v>
      </c>
      <c r="E151" s="144"/>
      <c r="F151" s="144"/>
      <c r="G151" s="144"/>
      <c r="H151" s="144"/>
      <c r="I151" s="144"/>
      <c r="K151" s="75">
        <v>4.96</v>
      </c>
      <c r="M151" s="14"/>
      <c r="N151" s="17"/>
    </row>
    <row r="152" spans="1:14" ht="12.75">
      <c r="A152" s="17"/>
      <c r="D152" s="143" t="s">
        <v>570</v>
      </c>
      <c r="E152" s="144"/>
      <c r="F152" s="144"/>
      <c r="G152" s="144"/>
      <c r="H152" s="144"/>
      <c r="I152" s="144"/>
      <c r="K152" s="75">
        <v>3.48</v>
      </c>
      <c r="M152" s="14"/>
      <c r="N152" s="17"/>
    </row>
    <row r="153" spans="1:14" ht="12.75">
      <c r="A153" s="17"/>
      <c r="D153" s="143" t="s">
        <v>571</v>
      </c>
      <c r="E153" s="144"/>
      <c r="F153" s="144"/>
      <c r="G153" s="144"/>
      <c r="H153" s="144"/>
      <c r="I153" s="144"/>
      <c r="K153" s="75">
        <v>0.99</v>
      </c>
      <c r="M153" s="14"/>
      <c r="N153" s="17"/>
    </row>
    <row r="154" spans="1:14" ht="12.75">
      <c r="A154" s="17"/>
      <c r="D154" s="143" t="s">
        <v>572</v>
      </c>
      <c r="E154" s="144"/>
      <c r="F154" s="144"/>
      <c r="G154" s="144"/>
      <c r="H154" s="144"/>
      <c r="I154" s="144"/>
      <c r="K154" s="75">
        <v>0.15</v>
      </c>
      <c r="M154" s="14"/>
      <c r="N154" s="17"/>
    </row>
    <row r="155" spans="1:14" ht="12.75">
      <c r="A155" s="17"/>
      <c r="D155" s="143" t="s">
        <v>573</v>
      </c>
      <c r="E155" s="144"/>
      <c r="F155" s="144"/>
      <c r="G155" s="144"/>
      <c r="H155" s="144"/>
      <c r="I155" s="144"/>
      <c r="K155" s="75">
        <v>11.93</v>
      </c>
      <c r="M155" s="14"/>
      <c r="N155" s="17"/>
    </row>
    <row r="156" spans="1:14" ht="12.75">
      <c r="A156" s="17"/>
      <c r="D156" s="143" t="s">
        <v>574</v>
      </c>
      <c r="E156" s="144"/>
      <c r="F156" s="144"/>
      <c r="G156" s="144"/>
      <c r="H156" s="144"/>
      <c r="I156" s="144"/>
      <c r="K156" s="75">
        <v>1.61</v>
      </c>
      <c r="M156" s="14"/>
      <c r="N156" s="17"/>
    </row>
    <row r="157" spans="1:14" ht="12.75">
      <c r="A157" s="17"/>
      <c r="D157" s="143" t="s">
        <v>575</v>
      </c>
      <c r="E157" s="144"/>
      <c r="F157" s="144"/>
      <c r="G157" s="144"/>
      <c r="H157" s="144"/>
      <c r="I157" s="144"/>
      <c r="K157" s="75">
        <v>2.02</v>
      </c>
      <c r="M157" s="14"/>
      <c r="N157" s="17"/>
    </row>
    <row r="158" spans="1:14" ht="12.75">
      <c r="A158" s="17"/>
      <c r="D158" s="143" t="s">
        <v>576</v>
      </c>
      <c r="E158" s="144"/>
      <c r="F158" s="144"/>
      <c r="G158" s="144"/>
      <c r="H158" s="144"/>
      <c r="I158" s="144"/>
      <c r="K158" s="75">
        <v>0.99</v>
      </c>
      <c r="M158" s="14"/>
      <c r="N158" s="17"/>
    </row>
    <row r="159" spans="1:14" ht="12.75">
      <c r="A159" s="17"/>
      <c r="D159" s="143" t="s">
        <v>577</v>
      </c>
      <c r="E159" s="144"/>
      <c r="F159" s="144"/>
      <c r="G159" s="144"/>
      <c r="H159" s="144"/>
      <c r="I159" s="144"/>
      <c r="K159" s="75">
        <v>0.75</v>
      </c>
      <c r="M159" s="14"/>
      <c r="N159" s="17"/>
    </row>
    <row r="160" spans="1:14" ht="12.75">
      <c r="A160" s="17"/>
      <c r="D160" s="143" t="s">
        <v>578</v>
      </c>
      <c r="E160" s="144"/>
      <c r="F160" s="144"/>
      <c r="G160" s="144"/>
      <c r="H160" s="144"/>
      <c r="I160" s="144"/>
      <c r="K160" s="75">
        <v>0.32</v>
      </c>
      <c r="M160" s="14"/>
      <c r="N160" s="17"/>
    </row>
    <row r="161" spans="1:14" ht="12.75">
      <c r="A161" s="17"/>
      <c r="D161" s="143" t="s">
        <v>579</v>
      </c>
      <c r="E161" s="144"/>
      <c r="F161" s="144"/>
      <c r="G161" s="144"/>
      <c r="H161" s="144"/>
      <c r="I161" s="144"/>
      <c r="K161" s="75">
        <v>13.64</v>
      </c>
      <c r="M161" s="14"/>
      <c r="N161" s="17"/>
    </row>
    <row r="162" spans="1:14" ht="12.75">
      <c r="A162" s="17"/>
      <c r="D162" s="143" t="s">
        <v>580</v>
      </c>
      <c r="E162" s="144"/>
      <c r="F162" s="144"/>
      <c r="G162" s="144"/>
      <c r="H162" s="144"/>
      <c r="I162" s="144"/>
      <c r="K162" s="75">
        <v>0.87</v>
      </c>
      <c r="M162" s="14"/>
      <c r="N162" s="17"/>
    </row>
    <row r="163" spans="1:14" ht="12.75">
      <c r="A163" s="17"/>
      <c r="D163" s="143" t="s">
        <v>581</v>
      </c>
      <c r="E163" s="144"/>
      <c r="F163" s="144"/>
      <c r="G163" s="144"/>
      <c r="H163" s="144"/>
      <c r="I163" s="144"/>
      <c r="K163" s="75">
        <v>0.25</v>
      </c>
      <c r="M163" s="14"/>
      <c r="N163" s="17"/>
    </row>
    <row r="164" spans="1:14" ht="12.75">
      <c r="A164" s="17"/>
      <c r="D164" s="143" t="s">
        <v>582</v>
      </c>
      <c r="E164" s="144"/>
      <c r="F164" s="144"/>
      <c r="G164" s="144"/>
      <c r="H164" s="144"/>
      <c r="I164" s="144"/>
      <c r="K164" s="75">
        <v>0.16</v>
      </c>
      <c r="M164" s="14"/>
      <c r="N164" s="17"/>
    </row>
    <row r="165" spans="1:64" ht="12.75">
      <c r="A165" s="38" t="s">
        <v>100</v>
      </c>
      <c r="B165" s="45" t="s">
        <v>61</v>
      </c>
      <c r="C165" s="45" t="s">
        <v>285</v>
      </c>
      <c r="D165" s="141" t="s">
        <v>583</v>
      </c>
      <c r="E165" s="142"/>
      <c r="F165" s="142"/>
      <c r="G165" s="142"/>
      <c r="H165" s="142"/>
      <c r="I165" s="142"/>
      <c r="J165" s="45" t="s">
        <v>973</v>
      </c>
      <c r="K165" s="74">
        <v>11.12</v>
      </c>
      <c r="L165" s="53">
        <v>0</v>
      </c>
      <c r="M165" s="65">
        <f>K165*L165</f>
        <v>0</v>
      </c>
      <c r="N165" s="17"/>
      <c r="Z165" s="33">
        <f>IF(AQ165="5",BJ165,0)</f>
        <v>0</v>
      </c>
      <c r="AB165" s="33">
        <f>IF(AQ165="1",BH165,0)</f>
        <v>0</v>
      </c>
      <c r="AC165" s="33">
        <f>IF(AQ165="1",BI165,0)</f>
        <v>0</v>
      </c>
      <c r="AD165" s="33">
        <f>IF(AQ165="7",BH165,0)</f>
        <v>0</v>
      </c>
      <c r="AE165" s="33">
        <f>IF(AQ165="7",BI165,0)</f>
        <v>0</v>
      </c>
      <c r="AF165" s="33">
        <f>IF(AQ165="2",BH165,0)</f>
        <v>0</v>
      </c>
      <c r="AG165" s="33">
        <f>IF(AQ165="2",BI165,0)</f>
        <v>0</v>
      </c>
      <c r="AH165" s="33">
        <f>IF(AQ165="0",BJ165,0)</f>
        <v>0</v>
      </c>
      <c r="AI165" s="58" t="s">
        <v>61</v>
      </c>
      <c r="AJ165" s="53">
        <f>IF(AN165=0,M165,0)</f>
        <v>0</v>
      </c>
      <c r="AK165" s="53">
        <f>IF(AN165=15,M165,0)</f>
        <v>0</v>
      </c>
      <c r="AL165" s="53">
        <f>IF(AN165=21,M165,0)</f>
        <v>0</v>
      </c>
      <c r="AN165" s="33">
        <v>21</v>
      </c>
      <c r="AO165" s="33">
        <f>L165*0</f>
        <v>0</v>
      </c>
      <c r="AP165" s="33">
        <f>L165*(1-0)</f>
        <v>0</v>
      </c>
      <c r="AQ165" s="59" t="s">
        <v>80</v>
      </c>
      <c r="AV165" s="33">
        <f>AW165+AX165</f>
        <v>0</v>
      </c>
      <c r="AW165" s="33">
        <f>K165*AO165</f>
        <v>0</v>
      </c>
      <c r="AX165" s="33">
        <f>K165*AP165</f>
        <v>0</v>
      </c>
      <c r="AY165" s="61" t="s">
        <v>994</v>
      </c>
      <c r="AZ165" s="61" t="s">
        <v>1018</v>
      </c>
      <c r="BA165" s="58" t="s">
        <v>1037</v>
      </c>
      <c r="BC165" s="33">
        <f>AW165+AX165</f>
        <v>0</v>
      </c>
      <c r="BD165" s="33">
        <f>L165/(100-BE165)*100</f>
        <v>0</v>
      </c>
      <c r="BE165" s="33">
        <v>0</v>
      </c>
      <c r="BF165" s="33">
        <f>165</f>
        <v>165</v>
      </c>
      <c r="BH165" s="53">
        <f>K165*AO165</f>
        <v>0</v>
      </c>
      <c r="BI165" s="53">
        <f>K165*AP165</f>
        <v>0</v>
      </c>
      <c r="BJ165" s="53">
        <f>K165*L165</f>
        <v>0</v>
      </c>
      <c r="BK165" s="53" t="s">
        <v>1046</v>
      </c>
      <c r="BL165" s="33">
        <v>17</v>
      </c>
    </row>
    <row r="166" spans="1:14" ht="12.75">
      <c r="A166" s="17"/>
      <c r="D166" s="143" t="s">
        <v>584</v>
      </c>
      <c r="E166" s="144"/>
      <c r="F166" s="144"/>
      <c r="G166" s="144"/>
      <c r="H166" s="144"/>
      <c r="I166" s="144"/>
      <c r="K166" s="75">
        <v>0</v>
      </c>
      <c r="M166" s="14"/>
      <c r="N166" s="17"/>
    </row>
    <row r="167" spans="1:14" ht="12.75">
      <c r="A167" s="17"/>
      <c r="D167" s="143" t="s">
        <v>585</v>
      </c>
      <c r="E167" s="144"/>
      <c r="F167" s="144"/>
      <c r="G167" s="144"/>
      <c r="H167" s="144"/>
      <c r="I167" s="144"/>
      <c r="K167" s="75">
        <v>0.27</v>
      </c>
      <c r="M167" s="14"/>
      <c r="N167" s="17"/>
    </row>
    <row r="168" spans="1:14" ht="12.75">
      <c r="A168" s="17"/>
      <c r="D168" s="143" t="s">
        <v>586</v>
      </c>
      <c r="E168" s="144"/>
      <c r="F168" s="144"/>
      <c r="G168" s="144"/>
      <c r="H168" s="144"/>
      <c r="I168" s="144"/>
      <c r="K168" s="75">
        <v>2.46</v>
      </c>
      <c r="M168" s="14"/>
      <c r="N168" s="17"/>
    </row>
    <row r="169" spans="1:14" ht="12.75">
      <c r="A169" s="17"/>
      <c r="D169" s="143" t="s">
        <v>587</v>
      </c>
      <c r="E169" s="144"/>
      <c r="F169" s="144"/>
      <c r="G169" s="144"/>
      <c r="H169" s="144"/>
      <c r="I169" s="144"/>
      <c r="K169" s="75">
        <v>0.38</v>
      </c>
      <c r="M169" s="14"/>
      <c r="N169" s="17"/>
    </row>
    <row r="170" spans="1:14" ht="12.75">
      <c r="A170" s="17"/>
      <c r="D170" s="143" t="s">
        <v>588</v>
      </c>
      <c r="E170" s="144"/>
      <c r="F170" s="144"/>
      <c r="G170" s="144"/>
      <c r="H170" s="144"/>
      <c r="I170" s="144"/>
      <c r="K170" s="75">
        <v>8.01</v>
      </c>
      <c r="M170" s="14"/>
      <c r="N170" s="17"/>
    </row>
    <row r="171" spans="1:64" ht="12.75">
      <c r="A171" s="39" t="s">
        <v>101</v>
      </c>
      <c r="B171" s="46" t="s">
        <v>61</v>
      </c>
      <c r="C171" s="46" t="s">
        <v>286</v>
      </c>
      <c r="D171" s="148" t="s">
        <v>589</v>
      </c>
      <c r="E171" s="149"/>
      <c r="F171" s="149"/>
      <c r="G171" s="149"/>
      <c r="H171" s="149"/>
      <c r="I171" s="149"/>
      <c r="J171" s="46" t="s">
        <v>974</v>
      </c>
      <c r="K171" s="78">
        <v>197.516</v>
      </c>
      <c r="L171" s="54">
        <v>0</v>
      </c>
      <c r="M171" s="66">
        <f>K171*L171</f>
        <v>0</v>
      </c>
      <c r="N171" s="17"/>
      <c r="Z171" s="33">
        <f>IF(AQ171="5",BJ171,0)</f>
        <v>0</v>
      </c>
      <c r="AB171" s="33">
        <f>IF(AQ171="1",BH171,0)</f>
        <v>0</v>
      </c>
      <c r="AC171" s="33">
        <f>IF(AQ171="1",BI171,0)</f>
        <v>0</v>
      </c>
      <c r="AD171" s="33">
        <f>IF(AQ171="7",BH171,0)</f>
        <v>0</v>
      </c>
      <c r="AE171" s="33">
        <f>IF(AQ171="7",BI171,0)</f>
        <v>0</v>
      </c>
      <c r="AF171" s="33">
        <f>IF(AQ171="2",BH171,0)</f>
        <v>0</v>
      </c>
      <c r="AG171" s="33">
        <f>IF(AQ171="2",BI171,0)</f>
        <v>0</v>
      </c>
      <c r="AH171" s="33">
        <f>IF(AQ171="0",BJ171,0)</f>
        <v>0</v>
      </c>
      <c r="AI171" s="58" t="s">
        <v>61</v>
      </c>
      <c r="AJ171" s="54">
        <f>IF(AN171=0,M171,0)</f>
        <v>0</v>
      </c>
      <c r="AK171" s="54">
        <f>IF(AN171=15,M171,0)</f>
        <v>0</v>
      </c>
      <c r="AL171" s="54">
        <f>IF(AN171=21,M171,0)</f>
        <v>0</v>
      </c>
      <c r="AN171" s="33">
        <v>21</v>
      </c>
      <c r="AO171" s="33">
        <f>L171*1</f>
        <v>0</v>
      </c>
      <c r="AP171" s="33">
        <f>L171*(1-1)</f>
        <v>0</v>
      </c>
      <c r="AQ171" s="60" t="s">
        <v>80</v>
      </c>
      <c r="AV171" s="33">
        <f>AW171+AX171</f>
        <v>0</v>
      </c>
      <c r="AW171" s="33">
        <f>K171*AO171</f>
        <v>0</v>
      </c>
      <c r="AX171" s="33">
        <f>K171*AP171</f>
        <v>0</v>
      </c>
      <c r="AY171" s="61" t="s">
        <v>994</v>
      </c>
      <c r="AZ171" s="61" t="s">
        <v>1018</v>
      </c>
      <c r="BA171" s="58" t="s">
        <v>1037</v>
      </c>
      <c r="BC171" s="33">
        <f>AW171+AX171</f>
        <v>0</v>
      </c>
      <c r="BD171" s="33">
        <f>L171/(100-BE171)*100</f>
        <v>0</v>
      </c>
      <c r="BE171" s="33">
        <v>0</v>
      </c>
      <c r="BF171" s="33">
        <f>171</f>
        <v>171</v>
      </c>
      <c r="BH171" s="54">
        <f>K171*AO171</f>
        <v>0</v>
      </c>
      <c r="BI171" s="54">
        <f>K171*AP171</f>
        <v>0</v>
      </c>
      <c r="BJ171" s="54">
        <f>K171*L171</f>
        <v>0</v>
      </c>
      <c r="BK171" s="54" t="s">
        <v>1047</v>
      </c>
      <c r="BL171" s="33">
        <v>17</v>
      </c>
    </row>
    <row r="172" spans="1:14" ht="12.75">
      <c r="A172" s="17"/>
      <c r="D172" s="143" t="s">
        <v>590</v>
      </c>
      <c r="E172" s="144"/>
      <c r="F172" s="144"/>
      <c r="G172" s="144"/>
      <c r="H172" s="144"/>
      <c r="I172" s="144"/>
      <c r="K172" s="75">
        <v>173.32</v>
      </c>
      <c r="M172" s="14"/>
      <c r="N172" s="17"/>
    </row>
    <row r="173" spans="1:14" ht="12.75">
      <c r="A173" s="17"/>
      <c r="D173" s="143" t="s">
        <v>591</v>
      </c>
      <c r="E173" s="144"/>
      <c r="F173" s="144"/>
      <c r="G173" s="144"/>
      <c r="H173" s="144"/>
      <c r="I173" s="144"/>
      <c r="K173" s="75">
        <v>22.24</v>
      </c>
      <c r="M173" s="14"/>
      <c r="N173" s="17"/>
    </row>
    <row r="174" spans="1:14" ht="12.75">
      <c r="A174" s="17"/>
      <c r="D174" s="143" t="s">
        <v>592</v>
      </c>
      <c r="E174" s="144"/>
      <c r="F174" s="144"/>
      <c r="G174" s="144"/>
      <c r="H174" s="144"/>
      <c r="I174" s="144"/>
      <c r="K174" s="75">
        <v>1.956</v>
      </c>
      <c r="M174" s="14"/>
      <c r="N174" s="17"/>
    </row>
    <row r="175" spans="1:47" ht="12.75">
      <c r="A175" s="37"/>
      <c r="B175" s="44" t="s">
        <v>61</v>
      </c>
      <c r="C175" s="44" t="s">
        <v>97</v>
      </c>
      <c r="D175" s="139" t="s">
        <v>593</v>
      </c>
      <c r="E175" s="140"/>
      <c r="F175" s="140"/>
      <c r="G175" s="140"/>
      <c r="H175" s="140"/>
      <c r="I175" s="140"/>
      <c r="J175" s="50" t="s">
        <v>59</v>
      </c>
      <c r="K175" s="50" t="s">
        <v>59</v>
      </c>
      <c r="L175" s="50" t="s">
        <v>59</v>
      </c>
      <c r="M175" s="64">
        <f>SUM(M176:M176)</f>
        <v>0</v>
      </c>
      <c r="N175" s="17"/>
      <c r="AI175" s="58" t="s">
        <v>61</v>
      </c>
      <c r="AS175" s="68">
        <f>SUM(AJ176:AJ176)</f>
        <v>0</v>
      </c>
      <c r="AT175" s="68">
        <f>SUM(AK176:AK176)</f>
        <v>0</v>
      </c>
      <c r="AU175" s="68">
        <f>SUM(AL176:AL176)</f>
        <v>0</v>
      </c>
    </row>
    <row r="176" spans="1:64" ht="12.75">
      <c r="A176" s="38" t="s">
        <v>102</v>
      </c>
      <c r="B176" s="45" t="s">
        <v>61</v>
      </c>
      <c r="C176" s="45" t="s">
        <v>287</v>
      </c>
      <c r="D176" s="141" t="s">
        <v>594</v>
      </c>
      <c r="E176" s="142"/>
      <c r="F176" s="142"/>
      <c r="G176" s="142"/>
      <c r="H176" s="142"/>
      <c r="I176" s="142"/>
      <c r="J176" s="45" t="s">
        <v>972</v>
      </c>
      <c r="K176" s="74">
        <v>12.8</v>
      </c>
      <c r="L176" s="53">
        <v>0</v>
      </c>
      <c r="M176" s="65">
        <f>K176*L176</f>
        <v>0</v>
      </c>
      <c r="N176" s="17"/>
      <c r="Z176" s="33">
        <f>IF(AQ176="5",BJ176,0)</f>
        <v>0</v>
      </c>
      <c r="AB176" s="33">
        <f>IF(AQ176="1",BH176,0)</f>
        <v>0</v>
      </c>
      <c r="AC176" s="33">
        <f>IF(AQ176="1",BI176,0)</f>
        <v>0</v>
      </c>
      <c r="AD176" s="33">
        <f>IF(AQ176="7",BH176,0)</f>
        <v>0</v>
      </c>
      <c r="AE176" s="33">
        <f>IF(AQ176="7",BI176,0)</f>
        <v>0</v>
      </c>
      <c r="AF176" s="33">
        <f>IF(AQ176="2",BH176,0)</f>
        <v>0</v>
      </c>
      <c r="AG176" s="33">
        <f>IF(AQ176="2",BI176,0)</f>
        <v>0</v>
      </c>
      <c r="AH176" s="33">
        <f>IF(AQ176="0",BJ176,0)</f>
        <v>0</v>
      </c>
      <c r="AI176" s="58" t="s">
        <v>61</v>
      </c>
      <c r="AJ176" s="53">
        <f>IF(AN176=0,M176,0)</f>
        <v>0</v>
      </c>
      <c r="AK176" s="53">
        <f>IF(AN176=15,M176,0)</f>
        <v>0</v>
      </c>
      <c r="AL176" s="53">
        <f>IF(AN176=21,M176,0)</f>
        <v>0</v>
      </c>
      <c r="AN176" s="33">
        <v>21</v>
      </c>
      <c r="AO176" s="33">
        <f>L176*0</f>
        <v>0</v>
      </c>
      <c r="AP176" s="33">
        <f>L176*(1-0)</f>
        <v>0</v>
      </c>
      <c r="AQ176" s="59" t="s">
        <v>80</v>
      </c>
      <c r="AV176" s="33">
        <f>AW176+AX176</f>
        <v>0</v>
      </c>
      <c r="AW176" s="33">
        <f>K176*AO176</f>
        <v>0</v>
      </c>
      <c r="AX176" s="33">
        <f>K176*AP176</f>
        <v>0</v>
      </c>
      <c r="AY176" s="61" t="s">
        <v>995</v>
      </c>
      <c r="AZ176" s="61" t="s">
        <v>1018</v>
      </c>
      <c r="BA176" s="58" t="s">
        <v>1037</v>
      </c>
      <c r="BC176" s="33">
        <f>AW176+AX176</f>
        <v>0</v>
      </c>
      <c r="BD176" s="33">
        <f>L176/(100-BE176)*100</f>
        <v>0</v>
      </c>
      <c r="BE176" s="33">
        <v>0</v>
      </c>
      <c r="BF176" s="33">
        <f>176</f>
        <v>176</v>
      </c>
      <c r="BH176" s="53">
        <f>K176*AO176</f>
        <v>0</v>
      </c>
      <c r="BI176" s="53">
        <f>K176*AP176</f>
        <v>0</v>
      </c>
      <c r="BJ176" s="53">
        <f>K176*L176</f>
        <v>0</v>
      </c>
      <c r="BK176" s="53" t="s">
        <v>1046</v>
      </c>
      <c r="BL176" s="33">
        <v>18</v>
      </c>
    </row>
    <row r="177" spans="1:14" ht="12.75">
      <c r="A177" s="17"/>
      <c r="D177" s="143" t="s">
        <v>465</v>
      </c>
      <c r="E177" s="144"/>
      <c r="F177" s="144"/>
      <c r="G177" s="144"/>
      <c r="H177" s="144"/>
      <c r="I177" s="144"/>
      <c r="K177" s="75">
        <v>12.8</v>
      </c>
      <c r="M177" s="14"/>
      <c r="N177" s="17"/>
    </row>
    <row r="178" spans="1:47" ht="12.75">
      <c r="A178" s="37"/>
      <c r="B178" s="44" t="s">
        <v>61</v>
      </c>
      <c r="C178" s="44" t="s">
        <v>98</v>
      </c>
      <c r="D178" s="139" t="s">
        <v>595</v>
      </c>
      <c r="E178" s="140"/>
      <c r="F178" s="140"/>
      <c r="G178" s="140"/>
      <c r="H178" s="140"/>
      <c r="I178" s="140"/>
      <c r="J178" s="50" t="s">
        <v>59</v>
      </c>
      <c r="K178" s="50" t="s">
        <v>59</v>
      </c>
      <c r="L178" s="50" t="s">
        <v>59</v>
      </c>
      <c r="M178" s="64">
        <f>SUM(M179:M179)</f>
        <v>0</v>
      </c>
      <c r="N178" s="17"/>
      <c r="AI178" s="58" t="s">
        <v>61</v>
      </c>
      <c r="AS178" s="68">
        <f>SUM(AJ179:AJ179)</f>
        <v>0</v>
      </c>
      <c r="AT178" s="68">
        <f>SUM(AK179:AK179)</f>
        <v>0</v>
      </c>
      <c r="AU178" s="68">
        <f>SUM(AL179:AL179)</f>
        <v>0</v>
      </c>
    </row>
    <row r="179" spans="1:64" ht="12.75">
      <c r="A179" s="38" t="s">
        <v>103</v>
      </c>
      <c r="B179" s="45" t="s">
        <v>61</v>
      </c>
      <c r="C179" s="45" t="s">
        <v>288</v>
      </c>
      <c r="D179" s="141" t="s">
        <v>596</v>
      </c>
      <c r="E179" s="142"/>
      <c r="F179" s="142"/>
      <c r="G179" s="142"/>
      <c r="H179" s="142"/>
      <c r="I179" s="142"/>
      <c r="J179" s="45" t="s">
        <v>973</v>
      </c>
      <c r="K179" s="74">
        <v>212.33</v>
      </c>
      <c r="L179" s="53">
        <v>0</v>
      </c>
      <c r="M179" s="65">
        <f>K179*L179</f>
        <v>0</v>
      </c>
      <c r="N179" s="17"/>
      <c r="Z179" s="33">
        <f>IF(AQ179="5",BJ179,0)</f>
        <v>0</v>
      </c>
      <c r="AB179" s="33">
        <f>IF(AQ179="1",BH179,0)</f>
        <v>0</v>
      </c>
      <c r="AC179" s="33">
        <f>IF(AQ179="1",BI179,0)</f>
        <v>0</v>
      </c>
      <c r="AD179" s="33">
        <f>IF(AQ179="7",BH179,0)</f>
        <v>0</v>
      </c>
      <c r="AE179" s="33">
        <f>IF(AQ179="7",BI179,0)</f>
        <v>0</v>
      </c>
      <c r="AF179" s="33">
        <f>IF(AQ179="2",BH179,0)</f>
        <v>0</v>
      </c>
      <c r="AG179" s="33">
        <f>IF(AQ179="2",BI179,0)</f>
        <v>0</v>
      </c>
      <c r="AH179" s="33">
        <f>IF(AQ179="0",BJ179,0)</f>
        <v>0</v>
      </c>
      <c r="AI179" s="58" t="s">
        <v>61</v>
      </c>
      <c r="AJ179" s="53">
        <f>IF(AN179=0,M179,0)</f>
        <v>0</v>
      </c>
      <c r="AK179" s="53">
        <f>IF(AN179=15,M179,0)</f>
        <v>0</v>
      </c>
      <c r="AL179" s="53">
        <f>IF(AN179=21,M179,0)</f>
        <v>0</v>
      </c>
      <c r="AN179" s="33">
        <v>21</v>
      </c>
      <c r="AO179" s="33">
        <f>L179*0</f>
        <v>0</v>
      </c>
      <c r="AP179" s="33">
        <f>L179*(1-0)</f>
        <v>0</v>
      </c>
      <c r="AQ179" s="59" t="s">
        <v>80</v>
      </c>
      <c r="AV179" s="33">
        <f>AW179+AX179</f>
        <v>0</v>
      </c>
      <c r="AW179" s="33">
        <f>K179*AO179</f>
        <v>0</v>
      </c>
      <c r="AX179" s="33">
        <f>K179*AP179</f>
        <v>0</v>
      </c>
      <c r="AY179" s="61" t="s">
        <v>996</v>
      </c>
      <c r="AZ179" s="61" t="s">
        <v>1018</v>
      </c>
      <c r="BA179" s="58" t="s">
        <v>1037</v>
      </c>
      <c r="BC179" s="33">
        <f>AW179+AX179</f>
        <v>0</v>
      </c>
      <c r="BD179" s="33">
        <f>L179/(100-BE179)*100</f>
        <v>0</v>
      </c>
      <c r="BE179" s="33">
        <v>0</v>
      </c>
      <c r="BF179" s="33">
        <f>179</f>
        <v>179</v>
      </c>
      <c r="BH179" s="53">
        <f>K179*AO179</f>
        <v>0</v>
      </c>
      <c r="BI179" s="53">
        <f>K179*AP179</f>
        <v>0</v>
      </c>
      <c r="BJ179" s="53">
        <f>K179*L179</f>
        <v>0</v>
      </c>
      <c r="BK179" s="53" t="s">
        <v>1046</v>
      </c>
      <c r="BL179" s="33">
        <v>19</v>
      </c>
    </row>
    <row r="180" spans="1:14" ht="12.75">
      <c r="A180" s="17"/>
      <c r="D180" s="143" t="s">
        <v>535</v>
      </c>
      <c r="E180" s="144"/>
      <c r="F180" s="144"/>
      <c r="G180" s="144"/>
      <c r="H180" s="144"/>
      <c r="I180" s="144"/>
      <c r="K180" s="75">
        <v>212.33</v>
      </c>
      <c r="M180" s="14"/>
      <c r="N180" s="17"/>
    </row>
    <row r="181" spans="1:47" ht="12.75">
      <c r="A181" s="37"/>
      <c r="B181" s="44" t="s">
        <v>61</v>
      </c>
      <c r="C181" s="44" t="s">
        <v>106</v>
      </c>
      <c r="D181" s="139" t="s">
        <v>597</v>
      </c>
      <c r="E181" s="140"/>
      <c r="F181" s="140"/>
      <c r="G181" s="140"/>
      <c r="H181" s="140"/>
      <c r="I181" s="140"/>
      <c r="J181" s="50" t="s">
        <v>59</v>
      </c>
      <c r="K181" s="50" t="s">
        <v>59</v>
      </c>
      <c r="L181" s="50" t="s">
        <v>59</v>
      </c>
      <c r="M181" s="64">
        <f>SUM(M182:M188)</f>
        <v>0</v>
      </c>
      <c r="N181" s="17"/>
      <c r="AI181" s="58" t="s">
        <v>61</v>
      </c>
      <c r="AS181" s="68">
        <f>SUM(AJ182:AJ188)</f>
        <v>0</v>
      </c>
      <c r="AT181" s="68">
        <f>SUM(AK182:AK188)</f>
        <v>0</v>
      </c>
      <c r="AU181" s="68">
        <f>SUM(AL182:AL188)</f>
        <v>0</v>
      </c>
    </row>
    <row r="182" spans="1:64" ht="12.75">
      <c r="A182" s="38" t="s">
        <v>104</v>
      </c>
      <c r="B182" s="45" t="s">
        <v>61</v>
      </c>
      <c r="C182" s="45" t="s">
        <v>289</v>
      </c>
      <c r="D182" s="141" t="s">
        <v>598</v>
      </c>
      <c r="E182" s="142"/>
      <c r="F182" s="142"/>
      <c r="G182" s="142"/>
      <c r="H182" s="142"/>
      <c r="I182" s="142"/>
      <c r="J182" s="45" t="s">
        <v>973</v>
      </c>
      <c r="K182" s="74">
        <v>2.16</v>
      </c>
      <c r="L182" s="53">
        <v>0</v>
      </c>
      <c r="M182" s="65">
        <f>K182*L182</f>
        <v>0</v>
      </c>
      <c r="N182" s="17"/>
      <c r="Z182" s="33">
        <f>IF(AQ182="5",BJ182,0)</f>
        <v>0</v>
      </c>
      <c r="AB182" s="33">
        <f>IF(AQ182="1",BH182,0)</f>
        <v>0</v>
      </c>
      <c r="AC182" s="33">
        <f>IF(AQ182="1",BI182,0)</f>
        <v>0</v>
      </c>
      <c r="AD182" s="33">
        <f>IF(AQ182="7",BH182,0)</f>
        <v>0</v>
      </c>
      <c r="AE182" s="33">
        <f>IF(AQ182="7",BI182,0)</f>
        <v>0</v>
      </c>
      <c r="AF182" s="33">
        <f>IF(AQ182="2",BH182,0)</f>
        <v>0</v>
      </c>
      <c r="AG182" s="33">
        <f>IF(AQ182="2",BI182,0)</f>
        <v>0</v>
      </c>
      <c r="AH182" s="33">
        <f>IF(AQ182="0",BJ182,0)</f>
        <v>0</v>
      </c>
      <c r="AI182" s="58" t="s">
        <v>61</v>
      </c>
      <c r="AJ182" s="53">
        <f>IF(AN182=0,M182,0)</f>
        <v>0</v>
      </c>
      <c r="AK182" s="53">
        <f>IF(AN182=15,M182,0)</f>
        <v>0</v>
      </c>
      <c r="AL182" s="53">
        <f>IF(AN182=21,M182,0)</f>
        <v>0</v>
      </c>
      <c r="AN182" s="33">
        <v>21</v>
      </c>
      <c r="AO182" s="33">
        <f>L182*0.641151518979347</f>
        <v>0</v>
      </c>
      <c r="AP182" s="33">
        <f>L182*(1-0.641151518979347)</f>
        <v>0</v>
      </c>
      <c r="AQ182" s="59" t="s">
        <v>80</v>
      </c>
      <c r="AV182" s="33">
        <f>AW182+AX182</f>
        <v>0</v>
      </c>
      <c r="AW182" s="33">
        <f>K182*AO182</f>
        <v>0</v>
      </c>
      <c r="AX182" s="33">
        <f>K182*AP182</f>
        <v>0</v>
      </c>
      <c r="AY182" s="61" t="s">
        <v>997</v>
      </c>
      <c r="AZ182" s="61" t="s">
        <v>1019</v>
      </c>
      <c r="BA182" s="58" t="s">
        <v>1037</v>
      </c>
      <c r="BC182" s="33">
        <f>AW182+AX182</f>
        <v>0</v>
      </c>
      <c r="BD182" s="33">
        <f>L182/(100-BE182)*100</f>
        <v>0</v>
      </c>
      <c r="BE182" s="33">
        <v>0</v>
      </c>
      <c r="BF182" s="33">
        <f>182</f>
        <v>182</v>
      </c>
      <c r="BH182" s="53">
        <f>K182*AO182</f>
        <v>0</v>
      </c>
      <c r="BI182" s="53">
        <f>K182*AP182</f>
        <v>0</v>
      </c>
      <c r="BJ182" s="53">
        <f>K182*L182</f>
        <v>0</v>
      </c>
      <c r="BK182" s="53" t="s">
        <v>1046</v>
      </c>
      <c r="BL182" s="33">
        <v>27</v>
      </c>
    </row>
    <row r="183" spans="1:14" ht="12.75">
      <c r="A183" s="17"/>
      <c r="D183" s="143" t="s">
        <v>599</v>
      </c>
      <c r="E183" s="144"/>
      <c r="F183" s="144"/>
      <c r="G183" s="144"/>
      <c r="H183" s="144"/>
      <c r="I183" s="144"/>
      <c r="K183" s="75">
        <v>0</v>
      </c>
      <c r="M183" s="14"/>
      <c r="N183" s="17"/>
    </row>
    <row r="184" spans="1:14" ht="12.75">
      <c r="A184" s="17"/>
      <c r="D184" s="143" t="s">
        <v>600</v>
      </c>
      <c r="E184" s="144"/>
      <c r="F184" s="144"/>
      <c r="G184" s="144"/>
      <c r="H184" s="144"/>
      <c r="I184" s="144"/>
      <c r="K184" s="75">
        <v>0.05</v>
      </c>
      <c r="M184" s="14"/>
      <c r="N184" s="17"/>
    </row>
    <row r="185" spans="1:14" ht="12.75">
      <c r="A185" s="17"/>
      <c r="D185" s="143" t="s">
        <v>601</v>
      </c>
      <c r="E185" s="144"/>
      <c r="F185" s="144"/>
      <c r="G185" s="144"/>
      <c r="H185" s="144"/>
      <c r="I185" s="144"/>
      <c r="K185" s="75">
        <v>0.99</v>
      </c>
      <c r="M185" s="14"/>
      <c r="N185" s="17"/>
    </row>
    <row r="186" spans="1:14" ht="12.75">
      <c r="A186" s="17"/>
      <c r="D186" s="143" t="s">
        <v>602</v>
      </c>
      <c r="E186" s="144"/>
      <c r="F186" s="144"/>
      <c r="G186" s="144"/>
      <c r="H186" s="144"/>
      <c r="I186" s="144"/>
      <c r="K186" s="75">
        <v>0.13</v>
      </c>
      <c r="M186" s="14"/>
      <c r="N186" s="17"/>
    </row>
    <row r="187" spans="1:14" ht="12.75">
      <c r="A187" s="17"/>
      <c r="D187" s="143" t="s">
        <v>603</v>
      </c>
      <c r="E187" s="144"/>
      <c r="F187" s="144"/>
      <c r="G187" s="144"/>
      <c r="H187" s="144"/>
      <c r="I187" s="144"/>
      <c r="K187" s="75">
        <v>0.99</v>
      </c>
      <c r="M187" s="14"/>
      <c r="N187" s="17"/>
    </row>
    <row r="188" spans="1:64" ht="12.75">
      <c r="A188" s="38" t="s">
        <v>105</v>
      </c>
      <c r="B188" s="45" t="s">
        <v>61</v>
      </c>
      <c r="C188" s="45" t="s">
        <v>290</v>
      </c>
      <c r="D188" s="141" t="s">
        <v>604</v>
      </c>
      <c r="E188" s="142"/>
      <c r="F188" s="142"/>
      <c r="G188" s="142"/>
      <c r="H188" s="142"/>
      <c r="I188" s="142"/>
      <c r="J188" s="45" t="s">
        <v>972</v>
      </c>
      <c r="K188" s="74">
        <v>18.61</v>
      </c>
      <c r="L188" s="53">
        <v>0</v>
      </c>
      <c r="M188" s="65">
        <f>K188*L188</f>
        <v>0</v>
      </c>
      <c r="N188" s="17"/>
      <c r="Z188" s="33">
        <f>IF(AQ188="5",BJ188,0)</f>
        <v>0</v>
      </c>
      <c r="AB188" s="33">
        <f>IF(AQ188="1",BH188,0)</f>
        <v>0</v>
      </c>
      <c r="AC188" s="33">
        <f>IF(AQ188="1",BI188,0)</f>
        <v>0</v>
      </c>
      <c r="AD188" s="33">
        <f>IF(AQ188="7",BH188,0)</f>
        <v>0</v>
      </c>
      <c r="AE188" s="33">
        <f>IF(AQ188="7",BI188,0)</f>
        <v>0</v>
      </c>
      <c r="AF188" s="33">
        <f>IF(AQ188="2",BH188,0)</f>
        <v>0</v>
      </c>
      <c r="AG188" s="33">
        <f>IF(AQ188="2",BI188,0)</f>
        <v>0</v>
      </c>
      <c r="AH188" s="33">
        <f>IF(AQ188="0",BJ188,0)</f>
        <v>0</v>
      </c>
      <c r="AI188" s="58" t="s">
        <v>61</v>
      </c>
      <c r="AJ188" s="53">
        <f>IF(AN188=0,M188,0)</f>
        <v>0</v>
      </c>
      <c r="AK188" s="53">
        <f>IF(AN188=15,M188,0)</f>
        <v>0</v>
      </c>
      <c r="AL188" s="53">
        <f>IF(AN188=21,M188,0)</f>
        <v>0</v>
      </c>
      <c r="AN188" s="33">
        <v>21</v>
      </c>
      <c r="AO188" s="33">
        <f>L188*0</f>
        <v>0</v>
      </c>
      <c r="AP188" s="33">
        <f>L188*(1-0)</f>
        <v>0</v>
      </c>
      <c r="AQ188" s="59" t="s">
        <v>80</v>
      </c>
      <c r="AV188" s="33">
        <f>AW188+AX188</f>
        <v>0</v>
      </c>
      <c r="AW188" s="33">
        <f>K188*AO188</f>
        <v>0</v>
      </c>
      <c r="AX188" s="33">
        <f>K188*AP188</f>
        <v>0</v>
      </c>
      <c r="AY188" s="61" t="s">
        <v>997</v>
      </c>
      <c r="AZ188" s="61" t="s">
        <v>1019</v>
      </c>
      <c r="BA188" s="58" t="s">
        <v>1037</v>
      </c>
      <c r="BC188" s="33">
        <f>AW188+AX188</f>
        <v>0</v>
      </c>
      <c r="BD188" s="33">
        <f>L188/(100-BE188)*100</f>
        <v>0</v>
      </c>
      <c r="BE188" s="33">
        <v>0</v>
      </c>
      <c r="BF188" s="33">
        <f>188</f>
        <v>188</v>
      </c>
      <c r="BH188" s="53">
        <f>K188*AO188</f>
        <v>0</v>
      </c>
      <c r="BI188" s="53">
        <f>K188*AP188</f>
        <v>0</v>
      </c>
      <c r="BJ188" s="53">
        <f>K188*L188</f>
        <v>0</v>
      </c>
      <c r="BK188" s="53" t="s">
        <v>1046</v>
      </c>
      <c r="BL188" s="33">
        <v>27</v>
      </c>
    </row>
    <row r="189" spans="1:14" ht="12.75">
      <c r="A189" s="17"/>
      <c r="D189" s="143" t="s">
        <v>599</v>
      </c>
      <c r="E189" s="144"/>
      <c r="F189" s="144"/>
      <c r="G189" s="144"/>
      <c r="H189" s="144"/>
      <c r="I189" s="144"/>
      <c r="K189" s="75">
        <v>0</v>
      </c>
      <c r="M189" s="14"/>
      <c r="N189" s="17"/>
    </row>
    <row r="190" spans="1:14" ht="12.75">
      <c r="A190" s="17"/>
      <c r="D190" s="143" t="s">
        <v>605</v>
      </c>
      <c r="E190" s="144"/>
      <c r="F190" s="144"/>
      <c r="G190" s="144"/>
      <c r="H190" s="144"/>
      <c r="I190" s="144"/>
      <c r="K190" s="75">
        <v>0.75</v>
      </c>
      <c r="M190" s="14"/>
      <c r="N190" s="17"/>
    </row>
    <row r="191" spans="1:14" ht="12.75">
      <c r="A191" s="17"/>
      <c r="D191" s="143" t="s">
        <v>606</v>
      </c>
      <c r="E191" s="144"/>
      <c r="F191" s="144"/>
      <c r="G191" s="144"/>
      <c r="H191" s="144"/>
      <c r="I191" s="144"/>
      <c r="K191" s="75">
        <v>9.9</v>
      </c>
      <c r="M191" s="14"/>
      <c r="N191" s="17"/>
    </row>
    <row r="192" spans="1:14" ht="12.75">
      <c r="A192" s="17"/>
      <c r="D192" s="143" t="s">
        <v>607</v>
      </c>
      <c r="E192" s="144"/>
      <c r="F192" s="144"/>
      <c r="G192" s="144"/>
      <c r="H192" s="144"/>
      <c r="I192" s="144"/>
      <c r="K192" s="75">
        <v>1.34</v>
      </c>
      <c r="M192" s="14"/>
      <c r="N192" s="17"/>
    </row>
    <row r="193" spans="1:14" ht="12.75">
      <c r="A193" s="17"/>
      <c r="D193" s="143" t="s">
        <v>608</v>
      </c>
      <c r="E193" s="144"/>
      <c r="F193" s="144"/>
      <c r="G193" s="144"/>
      <c r="H193" s="144"/>
      <c r="I193" s="144"/>
      <c r="K193" s="75">
        <v>6.62</v>
      </c>
      <c r="M193" s="14"/>
      <c r="N193" s="17"/>
    </row>
    <row r="194" spans="1:47" ht="12.75">
      <c r="A194" s="37"/>
      <c r="B194" s="44" t="s">
        <v>61</v>
      </c>
      <c r="C194" s="44" t="s">
        <v>114</v>
      </c>
      <c r="D194" s="139" t="s">
        <v>609</v>
      </c>
      <c r="E194" s="140"/>
      <c r="F194" s="140"/>
      <c r="G194" s="140"/>
      <c r="H194" s="140"/>
      <c r="I194" s="140"/>
      <c r="J194" s="50" t="s">
        <v>59</v>
      </c>
      <c r="K194" s="50" t="s">
        <v>59</v>
      </c>
      <c r="L194" s="50" t="s">
        <v>59</v>
      </c>
      <c r="M194" s="64">
        <f>SUM(M195:M195)</f>
        <v>0</v>
      </c>
      <c r="N194" s="17"/>
      <c r="AI194" s="58" t="s">
        <v>61</v>
      </c>
      <c r="AS194" s="68">
        <f>SUM(AJ195:AJ195)</f>
        <v>0</v>
      </c>
      <c r="AT194" s="68">
        <f>SUM(AK195:AK195)</f>
        <v>0</v>
      </c>
      <c r="AU194" s="68">
        <f>SUM(AL195:AL195)</f>
        <v>0</v>
      </c>
    </row>
    <row r="195" spans="1:64" ht="12.75">
      <c r="A195" s="38" t="s">
        <v>106</v>
      </c>
      <c r="B195" s="45" t="s">
        <v>61</v>
      </c>
      <c r="C195" s="45" t="s">
        <v>291</v>
      </c>
      <c r="D195" s="141" t="s">
        <v>610</v>
      </c>
      <c r="E195" s="142"/>
      <c r="F195" s="142"/>
      <c r="G195" s="142"/>
      <c r="H195" s="142"/>
      <c r="I195" s="142"/>
      <c r="J195" s="45" t="s">
        <v>968</v>
      </c>
      <c r="K195" s="74">
        <v>171.56</v>
      </c>
      <c r="L195" s="53">
        <v>0</v>
      </c>
      <c r="M195" s="65">
        <f>K195*L195</f>
        <v>0</v>
      </c>
      <c r="N195" s="17"/>
      <c r="Z195" s="33">
        <f>IF(AQ195="5",BJ195,0)</f>
        <v>0</v>
      </c>
      <c r="AB195" s="33">
        <f>IF(AQ195="1",BH195,0)</f>
        <v>0</v>
      </c>
      <c r="AC195" s="33">
        <f>IF(AQ195="1",BI195,0)</f>
        <v>0</v>
      </c>
      <c r="AD195" s="33">
        <f>IF(AQ195="7",BH195,0)</f>
        <v>0</v>
      </c>
      <c r="AE195" s="33">
        <f>IF(AQ195="7",BI195,0)</f>
        <v>0</v>
      </c>
      <c r="AF195" s="33">
        <f>IF(AQ195="2",BH195,0)</f>
        <v>0</v>
      </c>
      <c r="AG195" s="33">
        <f>IF(AQ195="2",BI195,0)</f>
        <v>0</v>
      </c>
      <c r="AH195" s="33">
        <f>IF(AQ195="0",BJ195,0)</f>
        <v>0</v>
      </c>
      <c r="AI195" s="58" t="s">
        <v>61</v>
      </c>
      <c r="AJ195" s="53">
        <f>IF(AN195=0,M195,0)</f>
        <v>0</v>
      </c>
      <c r="AK195" s="53">
        <f>IF(AN195=15,M195,0)</f>
        <v>0</v>
      </c>
      <c r="AL195" s="53">
        <f>IF(AN195=21,M195,0)</f>
        <v>0</v>
      </c>
      <c r="AN195" s="33">
        <v>21</v>
      </c>
      <c r="AO195" s="33">
        <f>L195*0</f>
        <v>0</v>
      </c>
      <c r="AP195" s="33">
        <f>L195*(1-0)</f>
        <v>0</v>
      </c>
      <c r="AQ195" s="59" t="s">
        <v>80</v>
      </c>
      <c r="AV195" s="33">
        <f>AW195+AX195</f>
        <v>0</v>
      </c>
      <c r="AW195" s="33">
        <f>K195*AO195</f>
        <v>0</v>
      </c>
      <c r="AX195" s="33">
        <f>K195*AP195</f>
        <v>0</v>
      </c>
      <c r="AY195" s="61" t="s">
        <v>998</v>
      </c>
      <c r="AZ195" s="61" t="s">
        <v>1020</v>
      </c>
      <c r="BA195" s="58" t="s">
        <v>1037</v>
      </c>
      <c r="BC195" s="33">
        <f>AW195+AX195</f>
        <v>0</v>
      </c>
      <c r="BD195" s="33">
        <f>L195/(100-BE195)*100</f>
        <v>0</v>
      </c>
      <c r="BE195" s="33">
        <v>0</v>
      </c>
      <c r="BF195" s="33">
        <f>195</f>
        <v>195</v>
      </c>
      <c r="BH195" s="53">
        <f>K195*AO195</f>
        <v>0</v>
      </c>
      <c r="BI195" s="53">
        <f>K195*AP195</f>
        <v>0</v>
      </c>
      <c r="BJ195" s="53">
        <f>K195*L195</f>
        <v>0</v>
      </c>
      <c r="BK195" s="53" t="s">
        <v>1046</v>
      </c>
      <c r="BL195" s="33">
        <v>35</v>
      </c>
    </row>
    <row r="196" spans="1:14" ht="12.75">
      <c r="A196" s="17"/>
      <c r="D196" s="143" t="s">
        <v>611</v>
      </c>
      <c r="E196" s="144"/>
      <c r="F196" s="144"/>
      <c r="G196" s="144"/>
      <c r="H196" s="144"/>
      <c r="I196" s="144"/>
      <c r="K196" s="75">
        <v>47.57</v>
      </c>
      <c r="M196" s="14"/>
      <c r="N196" s="17"/>
    </row>
    <row r="197" spans="1:14" ht="12.75">
      <c r="A197" s="17"/>
      <c r="D197" s="143" t="s">
        <v>612</v>
      </c>
      <c r="E197" s="144"/>
      <c r="F197" s="144"/>
      <c r="G197" s="144"/>
      <c r="H197" s="144"/>
      <c r="I197" s="144"/>
      <c r="K197" s="75">
        <v>94.81</v>
      </c>
      <c r="M197" s="14"/>
      <c r="N197" s="17"/>
    </row>
    <row r="198" spans="1:14" ht="12.75">
      <c r="A198" s="17"/>
      <c r="D198" s="143" t="s">
        <v>613</v>
      </c>
      <c r="E198" s="144"/>
      <c r="F198" s="144"/>
      <c r="G198" s="144"/>
      <c r="H198" s="144"/>
      <c r="I198" s="144"/>
      <c r="K198" s="75">
        <v>22.18</v>
      </c>
      <c r="M198" s="14"/>
      <c r="N198" s="17"/>
    </row>
    <row r="199" spans="1:14" ht="12.75">
      <c r="A199" s="17"/>
      <c r="D199" s="143" t="s">
        <v>614</v>
      </c>
      <c r="E199" s="144"/>
      <c r="F199" s="144"/>
      <c r="G199" s="144"/>
      <c r="H199" s="144"/>
      <c r="I199" s="144"/>
      <c r="K199" s="75">
        <v>7</v>
      </c>
      <c r="M199" s="14"/>
      <c r="N199" s="17"/>
    </row>
    <row r="200" spans="1:47" ht="12.75">
      <c r="A200" s="37"/>
      <c r="B200" s="44" t="s">
        <v>61</v>
      </c>
      <c r="C200" s="44" t="s">
        <v>124</v>
      </c>
      <c r="D200" s="139" t="s">
        <v>615</v>
      </c>
      <c r="E200" s="140"/>
      <c r="F200" s="140"/>
      <c r="G200" s="140"/>
      <c r="H200" s="140"/>
      <c r="I200" s="140"/>
      <c r="J200" s="50" t="s">
        <v>59</v>
      </c>
      <c r="K200" s="50" t="s">
        <v>59</v>
      </c>
      <c r="L200" s="50" t="s">
        <v>59</v>
      </c>
      <c r="M200" s="64">
        <f>SUM(M201:M219)</f>
        <v>0</v>
      </c>
      <c r="N200" s="17"/>
      <c r="AI200" s="58" t="s">
        <v>61</v>
      </c>
      <c r="AS200" s="68">
        <f>SUM(AJ201:AJ219)</f>
        <v>0</v>
      </c>
      <c r="AT200" s="68">
        <f>SUM(AK201:AK219)</f>
        <v>0</v>
      </c>
      <c r="AU200" s="68">
        <f>SUM(AL201:AL219)</f>
        <v>0</v>
      </c>
    </row>
    <row r="201" spans="1:64" ht="12.75">
      <c r="A201" s="38" t="s">
        <v>107</v>
      </c>
      <c r="B201" s="45" t="s">
        <v>61</v>
      </c>
      <c r="C201" s="45" t="s">
        <v>292</v>
      </c>
      <c r="D201" s="141" t="s">
        <v>616</v>
      </c>
      <c r="E201" s="142"/>
      <c r="F201" s="142"/>
      <c r="G201" s="142"/>
      <c r="H201" s="142"/>
      <c r="I201" s="142"/>
      <c r="J201" s="45" t="s">
        <v>973</v>
      </c>
      <c r="K201" s="74">
        <v>18.11</v>
      </c>
      <c r="L201" s="53">
        <v>0</v>
      </c>
      <c r="M201" s="65">
        <f>K201*L201</f>
        <v>0</v>
      </c>
      <c r="N201" s="17"/>
      <c r="Z201" s="33">
        <f>IF(AQ201="5",BJ201,0)</f>
        <v>0</v>
      </c>
      <c r="AB201" s="33">
        <f>IF(AQ201="1",BH201,0)</f>
        <v>0</v>
      </c>
      <c r="AC201" s="33">
        <f>IF(AQ201="1",BI201,0)</f>
        <v>0</v>
      </c>
      <c r="AD201" s="33">
        <f>IF(AQ201="7",BH201,0)</f>
        <v>0</v>
      </c>
      <c r="AE201" s="33">
        <f>IF(AQ201="7",BI201,0)</f>
        <v>0</v>
      </c>
      <c r="AF201" s="33">
        <f>IF(AQ201="2",BH201,0)</f>
        <v>0</v>
      </c>
      <c r="AG201" s="33">
        <f>IF(AQ201="2",BI201,0)</f>
        <v>0</v>
      </c>
      <c r="AH201" s="33">
        <f>IF(AQ201="0",BJ201,0)</f>
        <v>0</v>
      </c>
      <c r="AI201" s="58" t="s">
        <v>61</v>
      </c>
      <c r="AJ201" s="53">
        <f>IF(AN201=0,M201,0)</f>
        <v>0</v>
      </c>
      <c r="AK201" s="53">
        <f>IF(AN201=15,M201,0)</f>
        <v>0</v>
      </c>
      <c r="AL201" s="53">
        <f>IF(AN201=21,M201,0)</f>
        <v>0</v>
      </c>
      <c r="AN201" s="33">
        <v>21</v>
      </c>
      <c r="AO201" s="33">
        <f>L201*0.625391455118633</f>
        <v>0</v>
      </c>
      <c r="AP201" s="33">
        <f>L201*(1-0.625391455118633)</f>
        <v>0</v>
      </c>
      <c r="AQ201" s="59" t="s">
        <v>80</v>
      </c>
      <c r="AV201" s="33">
        <f>AW201+AX201</f>
        <v>0</v>
      </c>
      <c r="AW201" s="33">
        <f>K201*AO201</f>
        <v>0</v>
      </c>
      <c r="AX201" s="33">
        <f>K201*AP201</f>
        <v>0</v>
      </c>
      <c r="AY201" s="61" t="s">
        <v>999</v>
      </c>
      <c r="AZ201" s="61" t="s">
        <v>1021</v>
      </c>
      <c r="BA201" s="58" t="s">
        <v>1037</v>
      </c>
      <c r="BC201" s="33">
        <f>AW201+AX201</f>
        <v>0</v>
      </c>
      <c r="BD201" s="33">
        <f>L201/(100-BE201)*100</f>
        <v>0</v>
      </c>
      <c r="BE201" s="33">
        <v>0</v>
      </c>
      <c r="BF201" s="33">
        <f>201</f>
        <v>201</v>
      </c>
      <c r="BH201" s="53">
        <f>K201*AO201</f>
        <v>0</v>
      </c>
      <c r="BI201" s="53">
        <f>K201*AP201</f>
        <v>0</v>
      </c>
      <c r="BJ201" s="53">
        <f>K201*L201</f>
        <v>0</v>
      </c>
      <c r="BK201" s="53" t="s">
        <v>1046</v>
      </c>
      <c r="BL201" s="33">
        <v>45</v>
      </c>
    </row>
    <row r="202" spans="1:14" ht="12.75">
      <c r="A202" s="17"/>
      <c r="C202" s="48" t="s">
        <v>269</v>
      </c>
      <c r="D202" s="145" t="s">
        <v>617</v>
      </c>
      <c r="E202" s="146"/>
      <c r="F202" s="146"/>
      <c r="G202" s="146"/>
      <c r="H202" s="146"/>
      <c r="I202" s="146"/>
      <c r="J202" s="146"/>
      <c r="K202" s="146"/>
      <c r="L202" s="146"/>
      <c r="M202" s="147"/>
      <c r="N202" s="17"/>
    </row>
    <row r="203" spans="1:14" ht="12.75">
      <c r="A203" s="17"/>
      <c r="D203" s="143" t="s">
        <v>618</v>
      </c>
      <c r="E203" s="144"/>
      <c r="F203" s="144"/>
      <c r="G203" s="144"/>
      <c r="H203" s="144"/>
      <c r="I203" s="144"/>
      <c r="K203" s="75">
        <v>0</v>
      </c>
      <c r="M203" s="14"/>
      <c r="N203" s="17"/>
    </row>
    <row r="204" spans="1:14" ht="12.75">
      <c r="A204" s="17"/>
      <c r="D204" s="143" t="s">
        <v>619</v>
      </c>
      <c r="E204" s="144"/>
      <c r="F204" s="144"/>
      <c r="G204" s="144"/>
      <c r="H204" s="144"/>
      <c r="I204" s="144"/>
      <c r="K204" s="75">
        <v>4.11</v>
      </c>
      <c r="M204" s="14"/>
      <c r="N204" s="17"/>
    </row>
    <row r="205" spans="1:14" ht="12.75">
      <c r="A205" s="17"/>
      <c r="D205" s="143" t="s">
        <v>620</v>
      </c>
      <c r="E205" s="144"/>
      <c r="F205" s="144"/>
      <c r="G205" s="144"/>
      <c r="H205" s="144"/>
      <c r="I205" s="144"/>
      <c r="K205" s="75">
        <v>1.6</v>
      </c>
      <c r="M205" s="14"/>
      <c r="N205" s="17"/>
    </row>
    <row r="206" spans="1:14" ht="12.75">
      <c r="A206" s="17"/>
      <c r="D206" s="143" t="s">
        <v>621</v>
      </c>
      <c r="E206" s="144"/>
      <c r="F206" s="144"/>
      <c r="G206" s="144"/>
      <c r="H206" s="144"/>
      <c r="I206" s="144"/>
      <c r="K206" s="75">
        <v>1.2</v>
      </c>
      <c r="M206" s="14"/>
      <c r="N206" s="17"/>
    </row>
    <row r="207" spans="1:14" ht="12.75">
      <c r="A207" s="17"/>
      <c r="D207" s="143" t="s">
        <v>622</v>
      </c>
      <c r="E207" s="144"/>
      <c r="F207" s="144"/>
      <c r="G207" s="144"/>
      <c r="H207" s="144"/>
      <c r="I207" s="144"/>
      <c r="K207" s="75">
        <v>0.34</v>
      </c>
      <c r="M207" s="14"/>
      <c r="N207" s="17"/>
    </row>
    <row r="208" spans="1:14" ht="12.75">
      <c r="A208" s="17"/>
      <c r="D208" s="143" t="s">
        <v>623</v>
      </c>
      <c r="E208" s="144"/>
      <c r="F208" s="144"/>
      <c r="G208" s="144"/>
      <c r="H208" s="144"/>
      <c r="I208" s="144"/>
      <c r="K208" s="75">
        <v>0.05</v>
      </c>
      <c r="M208" s="14"/>
      <c r="N208" s="17"/>
    </row>
    <row r="209" spans="1:14" ht="12.75">
      <c r="A209" s="17"/>
      <c r="D209" s="143" t="s">
        <v>624</v>
      </c>
      <c r="E209" s="144"/>
      <c r="F209" s="144"/>
      <c r="G209" s="144"/>
      <c r="H209" s="144"/>
      <c r="I209" s="144"/>
      <c r="K209" s="75">
        <v>3.99</v>
      </c>
      <c r="M209" s="14"/>
      <c r="N209" s="17"/>
    </row>
    <row r="210" spans="1:14" ht="12.75">
      <c r="A210" s="17"/>
      <c r="D210" s="143" t="s">
        <v>625</v>
      </c>
      <c r="E210" s="144"/>
      <c r="F210" s="144"/>
      <c r="G210" s="144"/>
      <c r="H210" s="144"/>
      <c r="I210" s="144"/>
      <c r="K210" s="75">
        <v>0.56</v>
      </c>
      <c r="M210" s="14"/>
      <c r="N210" s="17"/>
    </row>
    <row r="211" spans="1:14" ht="12.75">
      <c r="A211" s="17"/>
      <c r="D211" s="143" t="s">
        <v>626</v>
      </c>
      <c r="E211" s="144"/>
      <c r="F211" s="144"/>
      <c r="G211" s="144"/>
      <c r="H211" s="144"/>
      <c r="I211" s="144"/>
      <c r="K211" s="75">
        <v>0.7</v>
      </c>
      <c r="M211" s="14"/>
      <c r="N211" s="17"/>
    </row>
    <row r="212" spans="1:14" ht="12.75">
      <c r="A212" s="17"/>
      <c r="D212" s="143" t="s">
        <v>627</v>
      </c>
      <c r="E212" s="144"/>
      <c r="F212" s="144"/>
      <c r="G212" s="144"/>
      <c r="H212" s="144"/>
      <c r="I212" s="144"/>
      <c r="K212" s="75">
        <v>0.34</v>
      </c>
      <c r="M212" s="14"/>
      <c r="N212" s="17"/>
    </row>
    <row r="213" spans="1:14" ht="12.75">
      <c r="A213" s="17"/>
      <c r="D213" s="143" t="s">
        <v>628</v>
      </c>
      <c r="E213" s="144"/>
      <c r="F213" s="144"/>
      <c r="G213" s="144"/>
      <c r="H213" s="144"/>
      <c r="I213" s="144"/>
      <c r="K213" s="75">
        <v>0.26</v>
      </c>
      <c r="M213" s="14"/>
      <c r="N213" s="17"/>
    </row>
    <row r="214" spans="1:14" ht="12.75">
      <c r="A214" s="17"/>
      <c r="D214" s="143" t="s">
        <v>629</v>
      </c>
      <c r="E214" s="144"/>
      <c r="F214" s="144"/>
      <c r="G214" s="144"/>
      <c r="H214" s="144"/>
      <c r="I214" s="144"/>
      <c r="K214" s="75">
        <v>0.11</v>
      </c>
      <c r="M214" s="14"/>
      <c r="N214" s="17"/>
    </row>
    <row r="215" spans="1:14" ht="12.75">
      <c r="A215" s="17"/>
      <c r="D215" s="143" t="s">
        <v>630</v>
      </c>
      <c r="E215" s="144"/>
      <c r="F215" s="144"/>
      <c r="G215" s="144"/>
      <c r="H215" s="144"/>
      <c r="I215" s="144"/>
      <c r="K215" s="75">
        <v>4.4</v>
      </c>
      <c r="M215" s="14"/>
      <c r="N215" s="17"/>
    </row>
    <row r="216" spans="1:14" ht="12.75">
      <c r="A216" s="17"/>
      <c r="D216" s="143" t="s">
        <v>631</v>
      </c>
      <c r="E216" s="144"/>
      <c r="F216" s="144"/>
      <c r="G216" s="144"/>
      <c r="H216" s="144"/>
      <c r="I216" s="144"/>
      <c r="K216" s="75">
        <v>0.3</v>
      </c>
      <c r="M216" s="14"/>
      <c r="N216" s="17"/>
    </row>
    <row r="217" spans="1:14" ht="12.75">
      <c r="A217" s="17"/>
      <c r="D217" s="143" t="s">
        <v>632</v>
      </c>
      <c r="E217" s="144"/>
      <c r="F217" s="144"/>
      <c r="G217" s="144"/>
      <c r="H217" s="144"/>
      <c r="I217" s="144"/>
      <c r="K217" s="75">
        <v>0.09</v>
      </c>
      <c r="M217" s="14"/>
      <c r="N217" s="17"/>
    </row>
    <row r="218" spans="1:14" ht="12.75">
      <c r="A218" s="17"/>
      <c r="D218" s="143" t="s">
        <v>633</v>
      </c>
      <c r="E218" s="144"/>
      <c r="F218" s="144"/>
      <c r="G218" s="144"/>
      <c r="H218" s="144"/>
      <c r="I218" s="144"/>
      <c r="K218" s="75">
        <v>0.06</v>
      </c>
      <c r="M218" s="14"/>
      <c r="N218" s="17"/>
    </row>
    <row r="219" spans="1:64" ht="12.75">
      <c r="A219" s="38" t="s">
        <v>108</v>
      </c>
      <c r="B219" s="45" t="s">
        <v>61</v>
      </c>
      <c r="C219" s="45" t="s">
        <v>293</v>
      </c>
      <c r="D219" s="141" t="s">
        <v>634</v>
      </c>
      <c r="E219" s="142"/>
      <c r="F219" s="142"/>
      <c r="G219" s="142"/>
      <c r="H219" s="142"/>
      <c r="I219" s="142"/>
      <c r="J219" s="45" t="s">
        <v>972</v>
      </c>
      <c r="K219" s="74">
        <v>0.9</v>
      </c>
      <c r="L219" s="53">
        <v>0</v>
      </c>
      <c r="M219" s="65">
        <f>K219*L219</f>
        <v>0</v>
      </c>
      <c r="N219" s="17"/>
      <c r="Z219" s="33">
        <f>IF(AQ219="5",BJ219,0)</f>
        <v>0</v>
      </c>
      <c r="AB219" s="33">
        <f>IF(AQ219="1",BH219,0)</f>
        <v>0</v>
      </c>
      <c r="AC219" s="33">
        <f>IF(AQ219="1",BI219,0)</f>
        <v>0</v>
      </c>
      <c r="AD219" s="33">
        <f>IF(AQ219="7",BH219,0)</f>
        <v>0</v>
      </c>
      <c r="AE219" s="33">
        <f>IF(AQ219="7",BI219,0)</f>
        <v>0</v>
      </c>
      <c r="AF219" s="33">
        <f>IF(AQ219="2",BH219,0)</f>
        <v>0</v>
      </c>
      <c r="AG219" s="33">
        <f>IF(AQ219="2",BI219,0)</f>
        <v>0</v>
      </c>
      <c r="AH219" s="33">
        <f>IF(AQ219="0",BJ219,0)</f>
        <v>0</v>
      </c>
      <c r="AI219" s="58" t="s">
        <v>61</v>
      </c>
      <c r="AJ219" s="53">
        <f>IF(AN219=0,M219,0)</f>
        <v>0</v>
      </c>
      <c r="AK219" s="53">
        <f>IF(AN219=15,M219,0)</f>
        <v>0</v>
      </c>
      <c r="AL219" s="53">
        <f>IF(AN219=21,M219,0)</f>
        <v>0</v>
      </c>
      <c r="AN219" s="33">
        <v>21</v>
      </c>
      <c r="AO219" s="33">
        <f>L219*0.378381962864722</f>
        <v>0</v>
      </c>
      <c r="AP219" s="33">
        <f>L219*(1-0.378381962864722)</f>
        <v>0</v>
      </c>
      <c r="AQ219" s="59" t="s">
        <v>80</v>
      </c>
      <c r="AV219" s="33">
        <f>AW219+AX219</f>
        <v>0</v>
      </c>
      <c r="AW219" s="33">
        <f>K219*AO219</f>
        <v>0</v>
      </c>
      <c r="AX219" s="33">
        <f>K219*AP219</f>
        <v>0</v>
      </c>
      <c r="AY219" s="61" t="s">
        <v>999</v>
      </c>
      <c r="AZ219" s="61" t="s">
        <v>1021</v>
      </c>
      <c r="BA219" s="58" t="s">
        <v>1037</v>
      </c>
      <c r="BC219" s="33">
        <f>AW219+AX219</f>
        <v>0</v>
      </c>
      <c r="BD219" s="33">
        <f>L219/(100-BE219)*100</f>
        <v>0</v>
      </c>
      <c r="BE219" s="33">
        <v>0</v>
      </c>
      <c r="BF219" s="33">
        <f>219</f>
        <v>219</v>
      </c>
      <c r="BH219" s="53">
        <f>K219*AO219</f>
        <v>0</v>
      </c>
      <c r="BI219" s="53">
        <f>K219*AP219</f>
        <v>0</v>
      </c>
      <c r="BJ219" s="53">
        <f>K219*L219</f>
        <v>0</v>
      </c>
      <c r="BK219" s="53" t="s">
        <v>1046</v>
      </c>
      <c r="BL219" s="33">
        <v>45</v>
      </c>
    </row>
    <row r="220" spans="1:14" ht="12.75">
      <c r="A220" s="17"/>
      <c r="D220" s="143" t="s">
        <v>635</v>
      </c>
      <c r="E220" s="144"/>
      <c r="F220" s="144"/>
      <c r="G220" s="144"/>
      <c r="H220" s="144"/>
      <c r="I220" s="144"/>
      <c r="K220" s="75">
        <v>0.9</v>
      </c>
      <c r="M220" s="14"/>
      <c r="N220" s="17"/>
    </row>
    <row r="221" spans="1:47" ht="12.75">
      <c r="A221" s="37"/>
      <c r="B221" s="44" t="s">
        <v>61</v>
      </c>
      <c r="C221" s="44" t="s">
        <v>138</v>
      </c>
      <c r="D221" s="139" t="s">
        <v>636</v>
      </c>
      <c r="E221" s="140"/>
      <c r="F221" s="140"/>
      <c r="G221" s="140"/>
      <c r="H221" s="140"/>
      <c r="I221" s="140"/>
      <c r="J221" s="50" t="s">
        <v>59</v>
      </c>
      <c r="K221" s="50" t="s">
        <v>59</v>
      </c>
      <c r="L221" s="50" t="s">
        <v>59</v>
      </c>
      <c r="M221" s="64">
        <f>SUM(M222:M224)</f>
        <v>0</v>
      </c>
      <c r="N221" s="17"/>
      <c r="AI221" s="58" t="s">
        <v>61</v>
      </c>
      <c r="AS221" s="68">
        <f>SUM(AJ222:AJ224)</f>
        <v>0</v>
      </c>
      <c r="AT221" s="68">
        <f>SUM(AK222:AK224)</f>
        <v>0</v>
      </c>
      <c r="AU221" s="68">
        <f>SUM(AL222:AL224)</f>
        <v>0</v>
      </c>
    </row>
    <row r="222" spans="1:64" ht="12.75">
      <c r="A222" s="38" t="s">
        <v>109</v>
      </c>
      <c r="B222" s="45" t="s">
        <v>61</v>
      </c>
      <c r="C222" s="45" t="s">
        <v>294</v>
      </c>
      <c r="D222" s="141" t="s">
        <v>637</v>
      </c>
      <c r="E222" s="142"/>
      <c r="F222" s="142"/>
      <c r="G222" s="142"/>
      <c r="H222" s="142"/>
      <c r="I222" s="142"/>
      <c r="J222" s="45" t="s">
        <v>972</v>
      </c>
      <c r="K222" s="74">
        <v>12.8</v>
      </c>
      <c r="L222" s="53">
        <v>0</v>
      </c>
      <c r="M222" s="65">
        <f>K222*L222</f>
        <v>0</v>
      </c>
      <c r="N222" s="17"/>
      <c r="Z222" s="33">
        <f>IF(AQ222="5",BJ222,0)</f>
        <v>0</v>
      </c>
      <c r="AB222" s="33">
        <f>IF(AQ222="1",BH222,0)</f>
        <v>0</v>
      </c>
      <c r="AC222" s="33">
        <f>IF(AQ222="1",BI222,0)</f>
        <v>0</v>
      </c>
      <c r="AD222" s="33">
        <f>IF(AQ222="7",BH222,0)</f>
        <v>0</v>
      </c>
      <c r="AE222" s="33">
        <f>IF(AQ222="7",BI222,0)</f>
        <v>0</v>
      </c>
      <c r="AF222" s="33">
        <f>IF(AQ222="2",BH222,0)</f>
        <v>0</v>
      </c>
      <c r="AG222" s="33">
        <f>IF(AQ222="2",BI222,0)</f>
        <v>0</v>
      </c>
      <c r="AH222" s="33">
        <f>IF(AQ222="0",BJ222,0)</f>
        <v>0</v>
      </c>
      <c r="AI222" s="58" t="s">
        <v>61</v>
      </c>
      <c r="AJ222" s="53">
        <f>IF(AN222=0,M222,0)</f>
        <v>0</v>
      </c>
      <c r="AK222" s="53">
        <f>IF(AN222=15,M222,0)</f>
        <v>0</v>
      </c>
      <c r="AL222" s="53">
        <f>IF(AN222=21,M222,0)</f>
        <v>0</v>
      </c>
      <c r="AN222" s="33">
        <v>21</v>
      </c>
      <c r="AO222" s="33">
        <f>L222*0.126788511749347</f>
        <v>0</v>
      </c>
      <c r="AP222" s="33">
        <f>L222*(1-0.126788511749347)</f>
        <v>0</v>
      </c>
      <c r="AQ222" s="59" t="s">
        <v>80</v>
      </c>
      <c r="AV222" s="33">
        <f>AW222+AX222</f>
        <v>0</v>
      </c>
      <c r="AW222" s="33">
        <f>K222*AO222</f>
        <v>0</v>
      </c>
      <c r="AX222" s="33">
        <f>K222*AP222</f>
        <v>0</v>
      </c>
      <c r="AY222" s="61" t="s">
        <v>1000</v>
      </c>
      <c r="AZ222" s="61" t="s">
        <v>1022</v>
      </c>
      <c r="BA222" s="58" t="s">
        <v>1037</v>
      </c>
      <c r="BC222" s="33">
        <f>AW222+AX222</f>
        <v>0</v>
      </c>
      <c r="BD222" s="33">
        <f>L222/(100-BE222)*100</f>
        <v>0</v>
      </c>
      <c r="BE222" s="33">
        <v>0</v>
      </c>
      <c r="BF222" s="33">
        <f>222</f>
        <v>222</v>
      </c>
      <c r="BH222" s="53">
        <f>K222*AO222</f>
        <v>0</v>
      </c>
      <c r="BI222" s="53">
        <f>K222*AP222</f>
        <v>0</v>
      </c>
      <c r="BJ222" s="53">
        <f>K222*L222</f>
        <v>0</v>
      </c>
      <c r="BK222" s="53" t="s">
        <v>1046</v>
      </c>
      <c r="BL222" s="33">
        <v>59</v>
      </c>
    </row>
    <row r="223" spans="1:14" ht="12.75">
      <c r="A223" s="17"/>
      <c r="D223" s="143" t="s">
        <v>465</v>
      </c>
      <c r="E223" s="144"/>
      <c r="F223" s="144"/>
      <c r="G223" s="144"/>
      <c r="H223" s="144"/>
      <c r="I223" s="144"/>
      <c r="K223" s="75">
        <v>12.8</v>
      </c>
      <c r="M223" s="14"/>
      <c r="N223" s="17"/>
    </row>
    <row r="224" spans="1:64" ht="12.75">
      <c r="A224" s="39" t="s">
        <v>110</v>
      </c>
      <c r="B224" s="46" t="s">
        <v>61</v>
      </c>
      <c r="C224" s="46" t="s">
        <v>295</v>
      </c>
      <c r="D224" s="148" t="s">
        <v>638</v>
      </c>
      <c r="E224" s="149"/>
      <c r="F224" s="149"/>
      <c r="G224" s="149"/>
      <c r="H224" s="149"/>
      <c r="I224" s="149"/>
      <c r="J224" s="46" t="s">
        <v>972</v>
      </c>
      <c r="K224" s="78">
        <v>1.28</v>
      </c>
      <c r="L224" s="54">
        <v>0</v>
      </c>
      <c r="M224" s="66">
        <f>K224*L224</f>
        <v>0</v>
      </c>
      <c r="N224" s="17"/>
      <c r="Z224" s="33">
        <f>IF(AQ224="5",BJ224,0)</f>
        <v>0</v>
      </c>
      <c r="AB224" s="33">
        <f>IF(AQ224="1",BH224,0)</f>
        <v>0</v>
      </c>
      <c r="AC224" s="33">
        <f>IF(AQ224="1",BI224,0)</f>
        <v>0</v>
      </c>
      <c r="AD224" s="33">
        <f>IF(AQ224="7",BH224,0)</f>
        <v>0</v>
      </c>
      <c r="AE224" s="33">
        <f>IF(AQ224="7",BI224,0)</f>
        <v>0</v>
      </c>
      <c r="AF224" s="33">
        <f>IF(AQ224="2",BH224,0)</f>
        <v>0</v>
      </c>
      <c r="AG224" s="33">
        <f>IF(AQ224="2",BI224,0)</f>
        <v>0</v>
      </c>
      <c r="AH224" s="33">
        <f>IF(AQ224="0",BJ224,0)</f>
        <v>0</v>
      </c>
      <c r="AI224" s="58" t="s">
        <v>61</v>
      </c>
      <c r="AJ224" s="54">
        <f>IF(AN224=0,M224,0)</f>
        <v>0</v>
      </c>
      <c r="AK224" s="54">
        <f>IF(AN224=15,M224,0)</f>
        <v>0</v>
      </c>
      <c r="AL224" s="54">
        <f>IF(AN224=21,M224,0)</f>
        <v>0</v>
      </c>
      <c r="AN224" s="33">
        <v>21</v>
      </c>
      <c r="AO224" s="33">
        <f>L224*1</f>
        <v>0</v>
      </c>
      <c r="AP224" s="33">
        <f>L224*(1-1)</f>
        <v>0</v>
      </c>
      <c r="AQ224" s="60" t="s">
        <v>80</v>
      </c>
      <c r="AV224" s="33">
        <f>AW224+AX224</f>
        <v>0</v>
      </c>
      <c r="AW224" s="33">
        <f>K224*AO224</f>
        <v>0</v>
      </c>
      <c r="AX224" s="33">
        <f>K224*AP224</f>
        <v>0</v>
      </c>
      <c r="AY224" s="61" t="s">
        <v>1000</v>
      </c>
      <c r="AZ224" s="61" t="s">
        <v>1022</v>
      </c>
      <c r="BA224" s="58" t="s">
        <v>1037</v>
      </c>
      <c r="BC224" s="33">
        <f>AW224+AX224</f>
        <v>0</v>
      </c>
      <c r="BD224" s="33">
        <f>L224/(100-BE224)*100</f>
        <v>0</v>
      </c>
      <c r="BE224" s="33">
        <v>0</v>
      </c>
      <c r="BF224" s="33">
        <f>224</f>
        <v>224</v>
      </c>
      <c r="BH224" s="54">
        <f>K224*AO224</f>
        <v>0</v>
      </c>
      <c r="BI224" s="54">
        <f>K224*AP224</f>
        <v>0</v>
      </c>
      <c r="BJ224" s="54">
        <f>K224*L224</f>
        <v>0</v>
      </c>
      <c r="BK224" s="54" t="s">
        <v>1047</v>
      </c>
      <c r="BL224" s="33">
        <v>59</v>
      </c>
    </row>
    <row r="225" spans="1:14" ht="12.75">
      <c r="A225" s="17"/>
      <c r="D225" s="143" t="s">
        <v>639</v>
      </c>
      <c r="E225" s="144"/>
      <c r="F225" s="144"/>
      <c r="G225" s="144"/>
      <c r="H225" s="144"/>
      <c r="I225" s="144"/>
      <c r="K225" s="75">
        <v>1.28</v>
      </c>
      <c r="M225" s="14"/>
      <c r="N225" s="17"/>
    </row>
    <row r="226" spans="1:47" ht="12.75">
      <c r="A226" s="37"/>
      <c r="B226" s="44" t="s">
        <v>61</v>
      </c>
      <c r="C226" s="44" t="s">
        <v>296</v>
      </c>
      <c r="D226" s="139" t="s">
        <v>640</v>
      </c>
      <c r="E226" s="140"/>
      <c r="F226" s="140"/>
      <c r="G226" s="140"/>
      <c r="H226" s="140"/>
      <c r="I226" s="140"/>
      <c r="J226" s="50" t="s">
        <v>59</v>
      </c>
      <c r="K226" s="50" t="s">
        <v>59</v>
      </c>
      <c r="L226" s="50" t="s">
        <v>59</v>
      </c>
      <c r="M226" s="64">
        <f>SUM(M227:M227)</f>
        <v>0</v>
      </c>
      <c r="N226" s="17"/>
      <c r="AI226" s="58" t="s">
        <v>61</v>
      </c>
      <c r="AS226" s="68">
        <f>SUM(AJ227:AJ227)</f>
        <v>0</v>
      </c>
      <c r="AT226" s="68">
        <f>SUM(AK227:AK227)</f>
        <v>0</v>
      </c>
      <c r="AU226" s="68">
        <f>SUM(AL227:AL227)</f>
        <v>0</v>
      </c>
    </row>
    <row r="227" spans="1:64" ht="12.75">
      <c r="A227" s="38" t="s">
        <v>111</v>
      </c>
      <c r="B227" s="45" t="s">
        <v>61</v>
      </c>
      <c r="C227" s="45" t="s">
        <v>297</v>
      </c>
      <c r="D227" s="141" t="s">
        <v>641</v>
      </c>
      <c r="E227" s="142"/>
      <c r="F227" s="142"/>
      <c r="G227" s="142"/>
      <c r="H227" s="142"/>
      <c r="I227" s="142"/>
      <c r="J227" s="45" t="s">
        <v>975</v>
      </c>
      <c r="K227" s="74">
        <v>6</v>
      </c>
      <c r="L227" s="53">
        <v>0</v>
      </c>
      <c r="M227" s="65">
        <f>K227*L227</f>
        <v>0</v>
      </c>
      <c r="N227" s="17"/>
      <c r="Z227" s="33">
        <f>IF(AQ227="5",BJ227,0)</f>
        <v>0</v>
      </c>
      <c r="AB227" s="33">
        <f>IF(AQ227="1",BH227,0)</f>
        <v>0</v>
      </c>
      <c r="AC227" s="33">
        <f>IF(AQ227="1",BI227,0)</f>
        <v>0</v>
      </c>
      <c r="AD227" s="33">
        <f>IF(AQ227="7",BH227,0)</f>
        <v>0</v>
      </c>
      <c r="AE227" s="33">
        <f>IF(AQ227="7",BI227,0)</f>
        <v>0</v>
      </c>
      <c r="AF227" s="33">
        <f>IF(AQ227="2",BH227,0)</f>
        <v>0</v>
      </c>
      <c r="AG227" s="33">
        <f>IF(AQ227="2",BI227,0)</f>
        <v>0</v>
      </c>
      <c r="AH227" s="33">
        <f>IF(AQ227="0",BJ227,0)</f>
        <v>0</v>
      </c>
      <c r="AI227" s="58" t="s">
        <v>61</v>
      </c>
      <c r="AJ227" s="53">
        <f>IF(AN227=0,M227,0)</f>
        <v>0</v>
      </c>
      <c r="AK227" s="53">
        <f>IF(AN227=15,M227,0)</f>
        <v>0</v>
      </c>
      <c r="AL227" s="53">
        <f>IF(AN227=21,M227,0)</f>
        <v>0</v>
      </c>
      <c r="AN227" s="33">
        <v>21</v>
      </c>
      <c r="AO227" s="33">
        <f>L227*0.0269430894308943</f>
        <v>0</v>
      </c>
      <c r="AP227" s="33">
        <f>L227*(1-0.0269430894308943)</f>
        <v>0</v>
      </c>
      <c r="AQ227" s="59" t="s">
        <v>86</v>
      </c>
      <c r="AV227" s="33">
        <f>AW227+AX227</f>
        <v>0</v>
      </c>
      <c r="AW227" s="33">
        <f>K227*AO227</f>
        <v>0</v>
      </c>
      <c r="AX227" s="33">
        <f>K227*AP227</f>
        <v>0</v>
      </c>
      <c r="AY227" s="61" t="s">
        <v>1001</v>
      </c>
      <c r="AZ227" s="61" t="s">
        <v>1023</v>
      </c>
      <c r="BA227" s="58" t="s">
        <v>1037</v>
      </c>
      <c r="BC227" s="33">
        <f>AW227+AX227</f>
        <v>0</v>
      </c>
      <c r="BD227" s="33">
        <f>L227/(100-BE227)*100</f>
        <v>0</v>
      </c>
      <c r="BE227" s="33">
        <v>0</v>
      </c>
      <c r="BF227" s="33">
        <f>227</f>
        <v>227</v>
      </c>
      <c r="BH227" s="53">
        <f>K227*AO227</f>
        <v>0</v>
      </c>
      <c r="BI227" s="53">
        <f>K227*AP227</f>
        <v>0</v>
      </c>
      <c r="BJ227" s="53">
        <f>K227*L227</f>
        <v>0</v>
      </c>
      <c r="BK227" s="53" t="s">
        <v>1046</v>
      </c>
      <c r="BL227" s="33">
        <v>711</v>
      </c>
    </row>
    <row r="228" spans="1:14" ht="12.75">
      <c r="A228" s="17"/>
      <c r="D228" s="143" t="s">
        <v>642</v>
      </c>
      <c r="E228" s="144"/>
      <c r="F228" s="144"/>
      <c r="G228" s="144"/>
      <c r="H228" s="144"/>
      <c r="I228" s="144"/>
      <c r="K228" s="75">
        <v>6</v>
      </c>
      <c r="M228" s="14"/>
      <c r="N228" s="17"/>
    </row>
    <row r="229" spans="1:47" ht="12.75">
      <c r="A229" s="37"/>
      <c r="B229" s="44" t="s">
        <v>61</v>
      </c>
      <c r="C229" s="44" t="s">
        <v>298</v>
      </c>
      <c r="D229" s="139" t="s">
        <v>643</v>
      </c>
      <c r="E229" s="140"/>
      <c r="F229" s="140"/>
      <c r="G229" s="140"/>
      <c r="H229" s="140"/>
      <c r="I229" s="140"/>
      <c r="J229" s="50" t="s">
        <v>59</v>
      </c>
      <c r="K229" s="50" t="s">
        <v>59</v>
      </c>
      <c r="L229" s="50" t="s">
        <v>59</v>
      </c>
      <c r="M229" s="64">
        <f>SUM(M230:M257)</f>
        <v>0</v>
      </c>
      <c r="N229" s="17"/>
      <c r="AI229" s="58" t="s">
        <v>61</v>
      </c>
      <c r="AS229" s="68">
        <f>SUM(AJ230:AJ257)</f>
        <v>0</v>
      </c>
      <c r="AT229" s="68">
        <f>SUM(AK230:AK257)</f>
        <v>0</v>
      </c>
      <c r="AU229" s="68">
        <f>SUM(AL230:AL257)</f>
        <v>0</v>
      </c>
    </row>
    <row r="230" spans="1:64" ht="12.75">
      <c r="A230" s="38" t="s">
        <v>112</v>
      </c>
      <c r="B230" s="45" t="s">
        <v>61</v>
      </c>
      <c r="C230" s="45" t="s">
        <v>299</v>
      </c>
      <c r="D230" s="141" t="s">
        <v>644</v>
      </c>
      <c r="E230" s="142"/>
      <c r="F230" s="142"/>
      <c r="G230" s="142"/>
      <c r="H230" s="142"/>
      <c r="I230" s="142"/>
      <c r="J230" s="45" t="s">
        <v>971</v>
      </c>
      <c r="K230" s="74">
        <v>3</v>
      </c>
      <c r="L230" s="53">
        <v>0</v>
      </c>
      <c r="M230" s="65">
        <f>K230*L230</f>
        <v>0</v>
      </c>
      <c r="N230" s="17"/>
      <c r="Z230" s="33">
        <f>IF(AQ230="5",BJ230,0)</f>
        <v>0</v>
      </c>
      <c r="AB230" s="33">
        <f>IF(AQ230="1",BH230,0)</f>
        <v>0</v>
      </c>
      <c r="AC230" s="33">
        <f>IF(AQ230="1",BI230,0)</f>
        <v>0</v>
      </c>
      <c r="AD230" s="33">
        <f>IF(AQ230="7",BH230,0)</f>
        <v>0</v>
      </c>
      <c r="AE230" s="33">
        <f>IF(AQ230="7",BI230,0)</f>
        <v>0</v>
      </c>
      <c r="AF230" s="33">
        <f>IF(AQ230="2",BH230,0)</f>
        <v>0</v>
      </c>
      <c r="AG230" s="33">
        <f>IF(AQ230="2",BI230,0)</f>
        <v>0</v>
      </c>
      <c r="AH230" s="33">
        <f>IF(AQ230="0",BJ230,0)</f>
        <v>0</v>
      </c>
      <c r="AI230" s="58" t="s">
        <v>61</v>
      </c>
      <c r="AJ230" s="53">
        <f>IF(AN230=0,M230,0)</f>
        <v>0</v>
      </c>
      <c r="AK230" s="53">
        <f>IF(AN230=15,M230,0)</f>
        <v>0</v>
      </c>
      <c r="AL230" s="53">
        <f>IF(AN230=21,M230,0)</f>
        <v>0</v>
      </c>
      <c r="AN230" s="33">
        <v>21</v>
      </c>
      <c r="AO230" s="33">
        <f>L230*0</f>
        <v>0</v>
      </c>
      <c r="AP230" s="33">
        <f>L230*(1-0)</f>
        <v>0</v>
      </c>
      <c r="AQ230" s="59" t="s">
        <v>86</v>
      </c>
      <c r="AV230" s="33">
        <f>AW230+AX230</f>
        <v>0</v>
      </c>
      <c r="AW230" s="33">
        <f>K230*AO230</f>
        <v>0</v>
      </c>
      <c r="AX230" s="33">
        <f>K230*AP230</f>
        <v>0</v>
      </c>
      <c r="AY230" s="61" t="s">
        <v>1002</v>
      </c>
      <c r="AZ230" s="61" t="s">
        <v>1024</v>
      </c>
      <c r="BA230" s="58" t="s">
        <v>1037</v>
      </c>
      <c r="BC230" s="33">
        <f>AW230+AX230</f>
        <v>0</v>
      </c>
      <c r="BD230" s="33">
        <f>L230/(100-BE230)*100</f>
        <v>0</v>
      </c>
      <c r="BE230" s="33">
        <v>0</v>
      </c>
      <c r="BF230" s="33">
        <f>230</f>
        <v>230</v>
      </c>
      <c r="BH230" s="53">
        <f>K230*AO230</f>
        <v>0</v>
      </c>
      <c r="BI230" s="53">
        <f>K230*AP230</f>
        <v>0</v>
      </c>
      <c r="BJ230" s="53">
        <f>K230*L230</f>
        <v>0</v>
      </c>
      <c r="BK230" s="53" t="s">
        <v>1046</v>
      </c>
      <c r="BL230" s="33">
        <v>721</v>
      </c>
    </row>
    <row r="231" spans="1:14" ht="12.75">
      <c r="A231" s="17"/>
      <c r="D231" s="143" t="s">
        <v>645</v>
      </c>
      <c r="E231" s="144"/>
      <c r="F231" s="144"/>
      <c r="G231" s="144"/>
      <c r="H231" s="144"/>
      <c r="I231" s="144"/>
      <c r="K231" s="75">
        <v>3</v>
      </c>
      <c r="M231" s="14"/>
      <c r="N231" s="17"/>
    </row>
    <row r="232" spans="1:64" ht="12.75">
      <c r="A232" s="39" t="s">
        <v>113</v>
      </c>
      <c r="B232" s="46" t="s">
        <v>61</v>
      </c>
      <c r="C232" s="46" t="s">
        <v>300</v>
      </c>
      <c r="D232" s="148" t="s">
        <v>646</v>
      </c>
      <c r="E232" s="149"/>
      <c r="F232" s="149"/>
      <c r="G232" s="149"/>
      <c r="H232" s="149"/>
      <c r="I232" s="149"/>
      <c r="J232" s="46" t="s">
        <v>975</v>
      </c>
      <c r="K232" s="78">
        <v>3.09</v>
      </c>
      <c r="L232" s="54">
        <v>0</v>
      </c>
      <c r="M232" s="66">
        <f>K232*L232</f>
        <v>0</v>
      </c>
      <c r="N232" s="17"/>
      <c r="Z232" s="33">
        <f>IF(AQ232="5",BJ232,0)</f>
        <v>0</v>
      </c>
      <c r="AB232" s="33">
        <f>IF(AQ232="1",BH232,0)</f>
        <v>0</v>
      </c>
      <c r="AC232" s="33">
        <f>IF(AQ232="1",BI232,0)</f>
        <v>0</v>
      </c>
      <c r="AD232" s="33">
        <f>IF(AQ232="7",BH232,0)</f>
        <v>0</v>
      </c>
      <c r="AE232" s="33">
        <f>IF(AQ232="7",BI232,0)</f>
        <v>0</v>
      </c>
      <c r="AF232" s="33">
        <f>IF(AQ232="2",BH232,0)</f>
        <v>0</v>
      </c>
      <c r="AG232" s="33">
        <f>IF(AQ232="2",BI232,0)</f>
        <v>0</v>
      </c>
      <c r="AH232" s="33">
        <f>IF(AQ232="0",BJ232,0)</f>
        <v>0</v>
      </c>
      <c r="AI232" s="58" t="s">
        <v>61</v>
      </c>
      <c r="AJ232" s="54">
        <f>IF(AN232=0,M232,0)</f>
        <v>0</v>
      </c>
      <c r="AK232" s="54">
        <f>IF(AN232=15,M232,0)</f>
        <v>0</v>
      </c>
      <c r="AL232" s="54">
        <f>IF(AN232=21,M232,0)</f>
        <v>0</v>
      </c>
      <c r="AN232" s="33">
        <v>21</v>
      </c>
      <c r="AO232" s="33">
        <f>L232*1</f>
        <v>0</v>
      </c>
      <c r="AP232" s="33">
        <f>L232*(1-1)</f>
        <v>0</v>
      </c>
      <c r="AQ232" s="60" t="s">
        <v>86</v>
      </c>
      <c r="AV232" s="33">
        <f>AW232+AX232</f>
        <v>0</v>
      </c>
      <c r="AW232" s="33">
        <f>K232*AO232</f>
        <v>0</v>
      </c>
      <c r="AX232" s="33">
        <f>K232*AP232</f>
        <v>0</v>
      </c>
      <c r="AY232" s="61" t="s">
        <v>1002</v>
      </c>
      <c r="AZ232" s="61" t="s">
        <v>1024</v>
      </c>
      <c r="BA232" s="58" t="s">
        <v>1037</v>
      </c>
      <c r="BC232" s="33">
        <f>AW232+AX232</f>
        <v>0</v>
      </c>
      <c r="BD232" s="33">
        <f>L232/(100-BE232)*100</f>
        <v>0</v>
      </c>
      <c r="BE232" s="33">
        <v>0</v>
      </c>
      <c r="BF232" s="33">
        <f>232</f>
        <v>232</v>
      </c>
      <c r="BH232" s="54">
        <f>K232*AO232</f>
        <v>0</v>
      </c>
      <c r="BI232" s="54">
        <f>K232*AP232</f>
        <v>0</v>
      </c>
      <c r="BJ232" s="54">
        <f>K232*L232</f>
        <v>0</v>
      </c>
      <c r="BK232" s="54" t="s">
        <v>1047</v>
      </c>
      <c r="BL232" s="33">
        <v>721</v>
      </c>
    </row>
    <row r="233" spans="1:14" ht="12.75">
      <c r="A233" s="17"/>
      <c r="D233" s="143" t="s">
        <v>647</v>
      </c>
      <c r="E233" s="144"/>
      <c r="F233" s="144"/>
      <c r="G233" s="144"/>
      <c r="H233" s="144"/>
      <c r="I233" s="144"/>
      <c r="K233" s="75">
        <v>1</v>
      </c>
      <c r="M233" s="14"/>
      <c r="N233" s="17"/>
    </row>
    <row r="234" spans="1:14" ht="12.75">
      <c r="A234" s="17"/>
      <c r="D234" s="143" t="s">
        <v>648</v>
      </c>
      <c r="E234" s="144"/>
      <c r="F234" s="144"/>
      <c r="G234" s="144"/>
      <c r="H234" s="144"/>
      <c r="I234" s="144"/>
      <c r="K234" s="75">
        <v>1</v>
      </c>
      <c r="M234" s="14"/>
      <c r="N234" s="17"/>
    </row>
    <row r="235" spans="1:14" ht="12.75">
      <c r="A235" s="17"/>
      <c r="D235" s="143" t="s">
        <v>649</v>
      </c>
      <c r="E235" s="144"/>
      <c r="F235" s="144"/>
      <c r="G235" s="144"/>
      <c r="H235" s="144"/>
      <c r="I235" s="144"/>
      <c r="K235" s="75">
        <v>1</v>
      </c>
      <c r="M235" s="14"/>
      <c r="N235" s="17"/>
    </row>
    <row r="236" spans="1:14" ht="12.75">
      <c r="A236" s="17"/>
      <c r="D236" s="143" t="s">
        <v>650</v>
      </c>
      <c r="E236" s="144"/>
      <c r="F236" s="144"/>
      <c r="G236" s="144"/>
      <c r="H236" s="144"/>
      <c r="I236" s="144"/>
      <c r="K236" s="75">
        <v>0.09</v>
      </c>
      <c r="M236" s="14"/>
      <c r="N236" s="17"/>
    </row>
    <row r="237" spans="1:64" ht="12.75">
      <c r="A237" s="38" t="s">
        <v>114</v>
      </c>
      <c r="B237" s="45" t="s">
        <v>61</v>
      </c>
      <c r="C237" s="45" t="s">
        <v>301</v>
      </c>
      <c r="D237" s="141" t="s">
        <v>651</v>
      </c>
      <c r="E237" s="142"/>
      <c r="F237" s="142"/>
      <c r="G237" s="142"/>
      <c r="H237" s="142"/>
      <c r="I237" s="142"/>
      <c r="J237" s="45" t="s">
        <v>968</v>
      </c>
      <c r="K237" s="74">
        <v>15</v>
      </c>
      <c r="L237" s="53">
        <v>0</v>
      </c>
      <c r="M237" s="65">
        <f>K237*L237</f>
        <v>0</v>
      </c>
      <c r="N237" s="17"/>
      <c r="Z237" s="33">
        <f>IF(AQ237="5",BJ237,0)</f>
        <v>0</v>
      </c>
      <c r="AB237" s="33">
        <f>IF(AQ237="1",BH237,0)</f>
        <v>0</v>
      </c>
      <c r="AC237" s="33">
        <f>IF(AQ237="1",BI237,0)</f>
        <v>0</v>
      </c>
      <c r="AD237" s="33">
        <f>IF(AQ237="7",BH237,0)</f>
        <v>0</v>
      </c>
      <c r="AE237" s="33">
        <f>IF(AQ237="7",BI237,0)</f>
        <v>0</v>
      </c>
      <c r="AF237" s="33">
        <f>IF(AQ237="2",BH237,0)</f>
        <v>0</v>
      </c>
      <c r="AG237" s="33">
        <f>IF(AQ237="2",BI237,0)</f>
        <v>0</v>
      </c>
      <c r="AH237" s="33">
        <f>IF(AQ237="0",BJ237,0)</f>
        <v>0</v>
      </c>
      <c r="AI237" s="58" t="s">
        <v>61</v>
      </c>
      <c r="AJ237" s="53">
        <f>IF(AN237=0,M237,0)</f>
        <v>0</v>
      </c>
      <c r="AK237" s="53">
        <f>IF(AN237=15,M237,0)</f>
        <v>0</v>
      </c>
      <c r="AL237" s="53">
        <f>IF(AN237=21,M237,0)</f>
        <v>0</v>
      </c>
      <c r="AN237" s="33">
        <v>21</v>
      </c>
      <c r="AO237" s="33">
        <f>L237*0</f>
        <v>0</v>
      </c>
      <c r="AP237" s="33">
        <f>L237*(1-0)</f>
        <v>0</v>
      </c>
      <c r="AQ237" s="59" t="s">
        <v>86</v>
      </c>
      <c r="AV237" s="33">
        <f>AW237+AX237</f>
        <v>0</v>
      </c>
      <c r="AW237" s="33">
        <f>K237*AO237</f>
        <v>0</v>
      </c>
      <c r="AX237" s="33">
        <f>K237*AP237</f>
        <v>0</v>
      </c>
      <c r="AY237" s="61" t="s">
        <v>1002</v>
      </c>
      <c r="AZ237" s="61" t="s">
        <v>1024</v>
      </c>
      <c r="BA237" s="58" t="s">
        <v>1037</v>
      </c>
      <c r="BC237" s="33">
        <f>AW237+AX237</f>
        <v>0</v>
      </c>
      <c r="BD237" s="33">
        <f>L237/(100-BE237)*100</f>
        <v>0</v>
      </c>
      <c r="BE237" s="33">
        <v>0</v>
      </c>
      <c r="BF237" s="33">
        <f>237</f>
        <v>237</v>
      </c>
      <c r="BH237" s="53">
        <f>K237*AO237</f>
        <v>0</v>
      </c>
      <c r="BI237" s="53">
        <f>K237*AP237</f>
        <v>0</v>
      </c>
      <c r="BJ237" s="53">
        <f>K237*L237</f>
        <v>0</v>
      </c>
      <c r="BK237" s="53" t="s">
        <v>1046</v>
      </c>
      <c r="BL237" s="33">
        <v>721</v>
      </c>
    </row>
    <row r="238" spans="1:14" ht="12.75">
      <c r="A238" s="17"/>
      <c r="C238" s="48" t="s">
        <v>269</v>
      </c>
      <c r="D238" s="145" t="s">
        <v>652</v>
      </c>
      <c r="E238" s="146"/>
      <c r="F238" s="146"/>
      <c r="G238" s="146"/>
      <c r="H238" s="146"/>
      <c r="I238" s="146"/>
      <c r="J238" s="146"/>
      <c r="K238" s="146"/>
      <c r="L238" s="146"/>
      <c r="M238" s="147"/>
      <c r="N238" s="17"/>
    </row>
    <row r="239" spans="1:14" ht="12.75">
      <c r="A239" s="17"/>
      <c r="D239" s="143" t="s">
        <v>653</v>
      </c>
      <c r="E239" s="144"/>
      <c r="F239" s="144"/>
      <c r="G239" s="144"/>
      <c r="H239" s="144"/>
      <c r="I239" s="144"/>
      <c r="K239" s="75">
        <v>15</v>
      </c>
      <c r="M239" s="14"/>
      <c r="N239" s="17"/>
    </row>
    <row r="240" spans="1:64" ht="12.75">
      <c r="A240" s="39" t="s">
        <v>115</v>
      </c>
      <c r="B240" s="46" t="s">
        <v>61</v>
      </c>
      <c r="C240" s="46" t="s">
        <v>302</v>
      </c>
      <c r="D240" s="148" t="s">
        <v>654</v>
      </c>
      <c r="E240" s="149"/>
      <c r="F240" s="149"/>
      <c r="G240" s="149"/>
      <c r="H240" s="149"/>
      <c r="I240" s="149"/>
      <c r="J240" s="46" t="s">
        <v>975</v>
      </c>
      <c r="K240" s="78">
        <v>5</v>
      </c>
      <c r="L240" s="54">
        <v>0</v>
      </c>
      <c r="M240" s="66">
        <f>K240*L240</f>
        <v>0</v>
      </c>
      <c r="N240" s="17"/>
      <c r="Z240" s="33">
        <f>IF(AQ240="5",BJ240,0)</f>
        <v>0</v>
      </c>
      <c r="AB240" s="33">
        <f>IF(AQ240="1",BH240,0)</f>
        <v>0</v>
      </c>
      <c r="AC240" s="33">
        <f>IF(AQ240="1",BI240,0)</f>
        <v>0</v>
      </c>
      <c r="AD240" s="33">
        <f>IF(AQ240="7",BH240,0)</f>
        <v>0</v>
      </c>
      <c r="AE240" s="33">
        <f>IF(AQ240="7",BI240,0)</f>
        <v>0</v>
      </c>
      <c r="AF240" s="33">
        <f>IF(AQ240="2",BH240,0)</f>
        <v>0</v>
      </c>
      <c r="AG240" s="33">
        <f>IF(AQ240="2",BI240,0)</f>
        <v>0</v>
      </c>
      <c r="AH240" s="33">
        <f>IF(AQ240="0",BJ240,0)</f>
        <v>0</v>
      </c>
      <c r="AI240" s="58" t="s">
        <v>61</v>
      </c>
      <c r="AJ240" s="54">
        <f>IF(AN240=0,M240,0)</f>
        <v>0</v>
      </c>
      <c r="AK240" s="54">
        <f>IF(AN240=15,M240,0)</f>
        <v>0</v>
      </c>
      <c r="AL240" s="54">
        <f>IF(AN240=21,M240,0)</f>
        <v>0</v>
      </c>
      <c r="AN240" s="33">
        <v>21</v>
      </c>
      <c r="AO240" s="33">
        <f>L240*1</f>
        <v>0</v>
      </c>
      <c r="AP240" s="33">
        <f>L240*(1-1)</f>
        <v>0</v>
      </c>
      <c r="AQ240" s="60" t="s">
        <v>86</v>
      </c>
      <c r="AV240" s="33">
        <f>AW240+AX240</f>
        <v>0</v>
      </c>
      <c r="AW240" s="33">
        <f>K240*AO240</f>
        <v>0</v>
      </c>
      <c r="AX240" s="33">
        <f>K240*AP240</f>
        <v>0</v>
      </c>
      <c r="AY240" s="61" t="s">
        <v>1002</v>
      </c>
      <c r="AZ240" s="61" t="s">
        <v>1024</v>
      </c>
      <c r="BA240" s="58" t="s">
        <v>1037</v>
      </c>
      <c r="BC240" s="33">
        <f>AW240+AX240</f>
        <v>0</v>
      </c>
      <c r="BD240" s="33">
        <f>L240/(100-BE240)*100</f>
        <v>0</v>
      </c>
      <c r="BE240" s="33">
        <v>0</v>
      </c>
      <c r="BF240" s="33">
        <f>240</f>
        <v>240</v>
      </c>
      <c r="BH240" s="54">
        <f>K240*AO240</f>
        <v>0</v>
      </c>
      <c r="BI240" s="54">
        <f>K240*AP240</f>
        <v>0</v>
      </c>
      <c r="BJ240" s="54">
        <f>K240*L240</f>
        <v>0</v>
      </c>
      <c r="BK240" s="54" t="s">
        <v>1047</v>
      </c>
      <c r="BL240" s="33">
        <v>721</v>
      </c>
    </row>
    <row r="241" spans="1:14" ht="12.75">
      <c r="A241" s="17"/>
      <c r="D241" s="143" t="s">
        <v>655</v>
      </c>
      <c r="E241" s="144"/>
      <c r="F241" s="144"/>
      <c r="G241" s="144"/>
      <c r="H241" s="144"/>
      <c r="I241" s="144"/>
      <c r="K241" s="75">
        <v>5</v>
      </c>
      <c r="M241" s="14"/>
      <c r="N241" s="17"/>
    </row>
    <row r="242" spans="1:64" ht="12.75">
      <c r="A242" s="39" t="s">
        <v>116</v>
      </c>
      <c r="B242" s="46" t="s">
        <v>61</v>
      </c>
      <c r="C242" s="46" t="s">
        <v>303</v>
      </c>
      <c r="D242" s="148" t="s">
        <v>656</v>
      </c>
      <c r="E242" s="149"/>
      <c r="F242" s="149"/>
      <c r="G242" s="149"/>
      <c r="H242" s="149"/>
      <c r="I242" s="149"/>
      <c r="J242" s="46" t="s">
        <v>975</v>
      </c>
      <c r="K242" s="78">
        <v>5</v>
      </c>
      <c r="L242" s="54">
        <v>0</v>
      </c>
      <c r="M242" s="66">
        <f>K242*L242</f>
        <v>0</v>
      </c>
      <c r="N242" s="17"/>
      <c r="Z242" s="33">
        <f>IF(AQ242="5",BJ242,0)</f>
        <v>0</v>
      </c>
      <c r="AB242" s="33">
        <f>IF(AQ242="1",BH242,0)</f>
        <v>0</v>
      </c>
      <c r="AC242" s="33">
        <f>IF(AQ242="1",BI242,0)</f>
        <v>0</v>
      </c>
      <c r="AD242" s="33">
        <f>IF(AQ242="7",BH242,0)</f>
        <v>0</v>
      </c>
      <c r="AE242" s="33">
        <f>IF(AQ242="7",BI242,0)</f>
        <v>0</v>
      </c>
      <c r="AF242" s="33">
        <f>IF(AQ242="2",BH242,0)</f>
        <v>0</v>
      </c>
      <c r="AG242" s="33">
        <f>IF(AQ242="2",BI242,0)</f>
        <v>0</v>
      </c>
      <c r="AH242" s="33">
        <f>IF(AQ242="0",BJ242,0)</f>
        <v>0</v>
      </c>
      <c r="AI242" s="58" t="s">
        <v>61</v>
      </c>
      <c r="AJ242" s="54">
        <f>IF(AN242=0,M242,0)</f>
        <v>0</v>
      </c>
      <c r="AK242" s="54">
        <f>IF(AN242=15,M242,0)</f>
        <v>0</v>
      </c>
      <c r="AL242" s="54">
        <f>IF(AN242=21,M242,0)</f>
        <v>0</v>
      </c>
      <c r="AN242" s="33">
        <v>21</v>
      </c>
      <c r="AO242" s="33">
        <f>L242*1</f>
        <v>0</v>
      </c>
      <c r="AP242" s="33">
        <f>L242*(1-1)</f>
        <v>0</v>
      </c>
      <c r="AQ242" s="60" t="s">
        <v>86</v>
      </c>
      <c r="AV242" s="33">
        <f>AW242+AX242</f>
        <v>0</v>
      </c>
      <c r="AW242" s="33">
        <f>K242*AO242</f>
        <v>0</v>
      </c>
      <c r="AX242" s="33">
        <f>K242*AP242</f>
        <v>0</v>
      </c>
      <c r="AY242" s="61" t="s">
        <v>1002</v>
      </c>
      <c r="AZ242" s="61" t="s">
        <v>1024</v>
      </c>
      <c r="BA242" s="58" t="s">
        <v>1037</v>
      </c>
      <c r="BC242" s="33">
        <f>AW242+AX242</f>
        <v>0</v>
      </c>
      <c r="BD242" s="33">
        <f>L242/(100-BE242)*100</f>
        <v>0</v>
      </c>
      <c r="BE242" s="33">
        <v>0</v>
      </c>
      <c r="BF242" s="33">
        <f>242</f>
        <v>242</v>
      </c>
      <c r="BH242" s="54">
        <f>K242*AO242</f>
        <v>0</v>
      </c>
      <c r="BI242" s="54">
        <f>K242*AP242</f>
        <v>0</v>
      </c>
      <c r="BJ242" s="54">
        <f>K242*L242</f>
        <v>0</v>
      </c>
      <c r="BK242" s="54" t="s">
        <v>1047</v>
      </c>
      <c r="BL242" s="33">
        <v>721</v>
      </c>
    </row>
    <row r="243" spans="1:14" ht="12.75">
      <c r="A243" s="17"/>
      <c r="D243" s="143" t="s">
        <v>655</v>
      </c>
      <c r="E243" s="144"/>
      <c r="F243" s="144"/>
      <c r="G243" s="144"/>
      <c r="H243" s="144"/>
      <c r="I243" s="144"/>
      <c r="K243" s="75">
        <v>5</v>
      </c>
      <c r="M243" s="14"/>
      <c r="N243" s="17"/>
    </row>
    <row r="244" spans="1:64" ht="12.75">
      <c r="A244" s="39" t="s">
        <v>117</v>
      </c>
      <c r="B244" s="46" t="s">
        <v>61</v>
      </c>
      <c r="C244" s="46" t="s">
        <v>304</v>
      </c>
      <c r="D244" s="148" t="s">
        <v>657</v>
      </c>
      <c r="E244" s="149"/>
      <c r="F244" s="149"/>
      <c r="G244" s="149"/>
      <c r="H244" s="149"/>
      <c r="I244" s="149"/>
      <c r="J244" s="46" t="s">
        <v>975</v>
      </c>
      <c r="K244" s="78">
        <v>20</v>
      </c>
      <c r="L244" s="54">
        <v>0</v>
      </c>
      <c r="M244" s="66">
        <f>K244*L244</f>
        <v>0</v>
      </c>
      <c r="N244" s="17"/>
      <c r="Z244" s="33">
        <f>IF(AQ244="5",BJ244,0)</f>
        <v>0</v>
      </c>
      <c r="AB244" s="33">
        <f>IF(AQ244="1",BH244,0)</f>
        <v>0</v>
      </c>
      <c r="AC244" s="33">
        <f>IF(AQ244="1",BI244,0)</f>
        <v>0</v>
      </c>
      <c r="AD244" s="33">
        <f>IF(AQ244="7",BH244,0)</f>
        <v>0</v>
      </c>
      <c r="AE244" s="33">
        <f>IF(AQ244="7",BI244,0)</f>
        <v>0</v>
      </c>
      <c r="AF244" s="33">
        <f>IF(AQ244="2",BH244,0)</f>
        <v>0</v>
      </c>
      <c r="AG244" s="33">
        <f>IF(AQ244="2",BI244,0)</f>
        <v>0</v>
      </c>
      <c r="AH244" s="33">
        <f>IF(AQ244="0",BJ244,0)</f>
        <v>0</v>
      </c>
      <c r="AI244" s="58" t="s">
        <v>61</v>
      </c>
      <c r="AJ244" s="54">
        <f>IF(AN244=0,M244,0)</f>
        <v>0</v>
      </c>
      <c r="AK244" s="54">
        <f>IF(AN244=15,M244,0)</f>
        <v>0</v>
      </c>
      <c r="AL244" s="54">
        <f>IF(AN244=21,M244,0)</f>
        <v>0</v>
      </c>
      <c r="AN244" s="33">
        <v>21</v>
      </c>
      <c r="AO244" s="33">
        <f>L244*1</f>
        <v>0</v>
      </c>
      <c r="AP244" s="33">
        <f>L244*(1-1)</f>
        <v>0</v>
      </c>
      <c r="AQ244" s="60" t="s">
        <v>86</v>
      </c>
      <c r="AV244" s="33">
        <f>AW244+AX244</f>
        <v>0</v>
      </c>
      <c r="AW244" s="33">
        <f>K244*AO244</f>
        <v>0</v>
      </c>
      <c r="AX244" s="33">
        <f>K244*AP244</f>
        <v>0</v>
      </c>
      <c r="AY244" s="61" t="s">
        <v>1002</v>
      </c>
      <c r="AZ244" s="61" t="s">
        <v>1024</v>
      </c>
      <c r="BA244" s="58" t="s">
        <v>1037</v>
      </c>
      <c r="BC244" s="33">
        <f>AW244+AX244</f>
        <v>0</v>
      </c>
      <c r="BD244" s="33">
        <f>L244/(100-BE244)*100</f>
        <v>0</v>
      </c>
      <c r="BE244" s="33">
        <v>0</v>
      </c>
      <c r="BF244" s="33">
        <f>244</f>
        <v>244</v>
      </c>
      <c r="BH244" s="54">
        <f>K244*AO244</f>
        <v>0</v>
      </c>
      <c r="BI244" s="54">
        <f>K244*AP244</f>
        <v>0</v>
      </c>
      <c r="BJ244" s="54">
        <f>K244*L244</f>
        <v>0</v>
      </c>
      <c r="BK244" s="54" t="s">
        <v>1047</v>
      </c>
      <c r="BL244" s="33">
        <v>721</v>
      </c>
    </row>
    <row r="245" spans="1:14" ht="12.75">
      <c r="A245" s="17"/>
      <c r="D245" s="143" t="s">
        <v>658</v>
      </c>
      <c r="E245" s="144"/>
      <c r="F245" s="144"/>
      <c r="G245" s="144"/>
      <c r="H245" s="144"/>
      <c r="I245" s="144"/>
      <c r="K245" s="75">
        <v>20</v>
      </c>
      <c r="M245" s="14"/>
      <c r="N245" s="17"/>
    </row>
    <row r="246" spans="1:64" ht="12.75">
      <c r="A246" s="39" t="s">
        <v>118</v>
      </c>
      <c r="B246" s="46" t="s">
        <v>61</v>
      </c>
      <c r="C246" s="46" t="s">
        <v>305</v>
      </c>
      <c r="D246" s="148" t="s">
        <v>659</v>
      </c>
      <c r="E246" s="149"/>
      <c r="F246" s="149"/>
      <c r="G246" s="149"/>
      <c r="H246" s="149"/>
      <c r="I246" s="149"/>
      <c r="J246" s="46" t="s">
        <v>975</v>
      </c>
      <c r="K246" s="78">
        <v>1</v>
      </c>
      <c r="L246" s="54">
        <v>0</v>
      </c>
      <c r="M246" s="66">
        <f>K246*L246</f>
        <v>0</v>
      </c>
      <c r="N246" s="17"/>
      <c r="Z246" s="33">
        <f>IF(AQ246="5",BJ246,0)</f>
        <v>0</v>
      </c>
      <c r="AB246" s="33">
        <f>IF(AQ246="1",BH246,0)</f>
        <v>0</v>
      </c>
      <c r="AC246" s="33">
        <f>IF(AQ246="1",BI246,0)</f>
        <v>0</v>
      </c>
      <c r="AD246" s="33">
        <f>IF(AQ246="7",BH246,0)</f>
        <v>0</v>
      </c>
      <c r="AE246" s="33">
        <f>IF(AQ246="7",BI246,0)</f>
        <v>0</v>
      </c>
      <c r="AF246" s="33">
        <f>IF(AQ246="2",BH246,0)</f>
        <v>0</v>
      </c>
      <c r="AG246" s="33">
        <f>IF(AQ246="2",BI246,0)</f>
        <v>0</v>
      </c>
      <c r="AH246" s="33">
        <f>IF(AQ246="0",BJ246,0)</f>
        <v>0</v>
      </c>
      <c r="AI246" s="58" t="s">
        <v>61</v>
      </c>
      <c r="AJ246" s="54">
        <f>IF(AN246=0,M246,0)</f>
        <v>0</v>
      </c>
      <c r="AK246" s="54">
        <f>IF(AN246=15,M246,0)</f>
        <v>0</v>
      </c>
      <c r="AL246" s="54">
        <f>IF(AN246=21,M246,0)</f>
        <v>0</v>
      </c>
      <c r="AN246" s="33">
        <v>21</v>
      </c>
      <c r="AO246" s="33">
        <f>L246*1</f>
        <v>0</v>
      </c>
      <c r="AP246" s="33">
        <f>L246*(1-1)</f>
        <v>0</v>
      </c>
      <c r="AQ246" s="60" t="s">
        <v>86</v>
      </c>
      <c r="AV246" s="33">
        <f>AW246+AX246</f>
        <v>0</v>
      </c>
      <c r="AW246" s="33">
        <f>K246*AO246</f>
        <v>0</v>
      </c>
      <c r="AX246" s="33">
        <f>K246*AP246</f>
        <v>0</v>
      </c>
      <c r="AY246" s="61" t="s">
        <v>1002</v>
      </c>
      <c r="AZ246" s="61" t="s">
        <v>1024</v>
      </c>
      <c r="BA246" s="58" t="s">
        <v>1037</v>
      </c>
      <c r="BC246" s="33">
        <f>AW246+AX246</f>
        <v>0</v>
      </c>
      <c r="BD246" s="33">
        <f>L246/(100-BE246)*100</f>
        <v>0</v>
      </c>
      <c r="BE246" s="33">
        <v>0</v>
      </c>
      <c r="BF246" s="33">
        <f>246</f>
        <v>246</v>
      </c>
      <c r="BH246" s="54">
        <f>K246*AO246</f>
        <v>0</v>
      </c>
      <c r="BI246" s="54">
        <f>K246*AP246</f>
        <v>0</v>
      </c>
      <c r="BJ246" s="54">
        <f>K246*L246</f>
        <v>0</v>
      </c>
      <c r="BK246" s="54" t="s">
        <v>1047</v>
      </c>
      <c r="BL246" s="33">
        <v>721</v>
      </c>
    </row>
    <row r="247" spans="1:14" ht="12.75">
      <c r="A247" s="17"/>
      <c r="D247" s="143" t="s">
        <v>660</v>
      </c>
      <c r="E247" s="144"/>
      <c r="F247" s="144"/>
      <c r="G247" s="144"/>
      <c r="H247" s="144"/>
      <c r="I247" s="144"/>
      <c r="K247" s="75">
        <v>1</v>
      </c>
      <c r="M247" s="14"/>
      <c r="N247" s="17"/>
    </row>
    <row r="248" spans="1:64" ht="12.75">
      <c r="A248" s="38" t="s">
        <v>119</v>
      </c>
      <c r="B248" s="45" t="s">
        <v>61</v>
      </c>
      <c r="C248" s="45" t="s">
        <v>306</v>
      </c>
      <c r="D248" s="141" t="s">
        <v>661</v>
      </c>
      <c r="E248" s="142"/>
      <c r="F248" s="142"/>
      <c r="G248" s="142"/>
      <c r="H248" s="142"/>
      <c r="I248" s="142"/>
      <c r="J248" s="45" t="s">
        <v>968</v>
      </c>
      <c r="K248" s="74">
        <v>3</v>
      </c>
      <c r="L248" s="53">
        <v>0</v>
      </c>
      <c r="M248" s="65">
        <f>K248*L248</f>
        <v>0</v>
      </c>
      <c r="N248" s="17"/>
      <c r="Z248" s="33">
        <f>IF(AQ248="5",BJ248,0)</f>
        <v>0</v>
      </c>
      <c r="AB248" s="33">
        <f>IF(AQ248="1",BH248,0)</f>
        <v>0</v>
      </c>
      <c r="AC248" s="33">
        <f>IF(AQ248="1",BI248,0)</f>
        <v>0</v>
      </c>
      <c r="AD248" s="33">
        <f>IF(AQ248="7",BH248,0)</f>
        <v>0</v>
      </c>
      <c r="AE248" s="33">
        <f>IF(AQ248="7",BI248,0)</f>
        <v>0</v>
      </c>
      <c r="AF248" s="33">
        <f>IF(AQ248="2",BH248,0)</f>
        <v>0</v>
      </c>
      <c r="AG248" s="33">
        <f>IF(AQ248="2",BI248,0)</f>
        <v>0</v>
      </c>
      <c r="AH248" s="33">
        <f>IF(AQ248="0",BJ248,0)</f>
        <v>0</v>
      </c>
      <c r="AI248" s="58" t="s">
        <v>61</v>
      </c>
      <c r="AJ248" s="53">
        <f>IF(AN248=0,M248,0)</f>
        <v>0</v>
      </c>
      <c r="AK248" s="53">
        <f>IF(AN248=15,M248,0)</f>
        <v>0</v>
      </c>
      <c r="AL248" s="53">
        <f>IF(AN248=21,M248,0)</f>
        <v>0</v>
      </c>
      <c r="AN248" s="33">
        <v>21</v>
      </c>
      <c r="AO248" s="33">
        <f>L248*0</f>
        <v>0</v>
      </c>
      <c r="AP248" s="33">
        <f>L248*(1-0)</f>
        <v>0</v>
      </c>
      <c r="AQ248" s="59" t="s">
        <v>86</v>
      </c>
      <c r="AV248" s="33">
        <f>AW248+AX248</f>
        <v>0</v>
      </c>
      <c r="AW248" s="33">
        <f>K248*AO248</f>
        <v>0</v>
      </c>
      <c r="AX248" s="33">
        <f>K248*AP248</f>
        <v>0</v>
      </c>
      <c r="AY248" s="61" t="s">
        <v>1002</v>
      </c>
      <c r="AZ248" s="61" t="s">
        <v>1024</v>
      </c>
      <c r="BA248" s="58" t="s">
        <v>1037</v>
      </c>
      <c r="BC248" s="33">
        <f>AW248+AX248</f>
        <v>0</v>
      </c>
      <c r="BD248" s="33">
        <f>L248/(100-BE248)*100</f>
        <v>0</v>
      </c>
      <c r="BE248" s="33">
        <v>0</v>
      </c>
      <c r="BF248" s="33">
        <f>248</f>
        <v>248</v>
      </c>
      <c r="BH248" s="53">
        <f>K248*AO248</f>
        <v>0</v>
      </c>
      <c r="BI248" s="53">
        <f>K248*AP248</f>
        <v>0</v>
      </c>
      <c r="BJ248" s="53">
        <f>K248*L248</f>
        <v>0</v>
      </c>
      <c r="BK248" s="53" t="s">
        <v>1046</v>
      </c>
      <c r="BL248" s="33">
        <v>721</v>
      </c>
    </row>
    <row r="249" spans="1:14" ht="12.75">
      <c r="A249" s="17"/>
      <c r="C249" s="48" t="s">
        <v>269</v>
      </c>
      <c r="D249" s="145" t="s">
        <v>652</v>
      </c>
      <c r="E249" s="146"/>
      <c r="F249" s="146"/>
      <c r="G249" s="146"/>
      <c r="H249" s="146"/>
      <c r="I249" s="146"/>
      <c r="J249" s="146"/>
      <c r="K249" s="146"/>
      <c r="L249" s="146"/>
      <c r="M249" s="147"/>
      <c r="N249" s="17"/>
    </row>
    <row r="250" spans="1:14" ht="12.75">
      <c r="A250" s="17"/>
      <c r="D250" s="143" t="s">
        <v>645</v>
      </c>
      <c r="E250" s="144"/>
      <c r="F250" s="144"/>
      <c r="G250" s="144"/>
      <c r="H250" s="144"/>
      <c r="I250" s="144"/>
      <c r="K250" s="75">
        <v>3</v>
      </c>
      <c r="M250" s="14"/>
      <c r="N250" s="17"/>
    </row>
    <row r="251" spans="1:64" ht="12.75">
      <c r="A251" s="39" t="s">
        <v>120</v>
      </c>
      <c r="B251" s="46" t="s">
        <v>61</v>
      </c>
      <c r="C251" s="46" t="s">
        <v>307</v>
      </c>
      <c r="D251" s="148" t="s">
        <v>662</v>
      </c>
      <c r="E251" s="149"/>
      <c r="F251" s="149"/>
      <c r="G251" s="149"/>
      <c r="H251" s="149"/>
      <c r="I251" s="149"/>
      <c r="J251" s="46" t="s">
        <v>975</v>
      </c>
      <c r="K251" s="78">
        <v>1</v>
      </c>
      <c r="L251" s="54">
        <v>0</v>
      </c>
      <c r="M251" s="66">
        <f>K251*L251</f>
        <v>0</v>
      </c>
      <c r="N251" s="17"/>
      <c r="Z251" s="33">
        <f>IF(AQ251="5",BJ251,0)</f>
        <v>0</v>
      </c>
      <c r="AB251" s="33">
        <f>IF(AQ251="1",BH251,0)</f>
        <v>0</v>
      </c>
      <c r="AC251" s="33">
        <f>IF(AQ251="1",BI251,0)</f>
        <v>0</v>
      </c>
      <c r="AD251" s="33">
        <f>IF(AQ251="7",BH251,0)</f>
        <v>0</v>
      </c>
      <c r="AE251" s="33">
        <f>IF(AQ251="7",BI251,0)</f>
        <v>0</v>
      </c>
      <c r="AF251" s="33">
        <f>IF(AQ251="2",BH251,0)</f>
        <v>0</v>
      </c>
      <c r="AG251" s="33">
        <f>IF(AQ251="2",BI251,0)</f>
        <v>0</v>
      </c>
      <c r="AH251" s="33">
        <f>IF(AQ251="0",BJ251,0)</f>
        <v>0</v>
      </c>
      <c r="AI251" s="58" t="s">
        <v>61</v>
      </c>
      <c r="AJ251" s="54">
        <f>IF(AN251=0,M251,0)</f>
        <v>0</v>
      </c>
      <c r="AK251" s="54">
        <f>IF(AN251=15,M251,0)</f>
        <v>0</v>
      </c>
      <c r="AL251" s="54">
        <f>IF(AN251=21,M251,0)</f>
        <v>0</v>
      </c>
      <c r="AN251" s="33">
        <v>21</v>
      </c>
      <c r="AO251" s="33">
        <f>L251*1</f>
        <v>0</v>
      </c>
      <c r="AP251" s="33">
        <f>L251*(1-1)</f>
        <v>0</v>
      </c>
      <c r="AQ251" s="60" t="s">
        <v>86</v>
      </c>
      <c r="AV251" s="33">
        <f>AW251+AX251</f>
        <v>0</v>
      </c>
      <c r="AW251" s="33">
        <f>K251*AO251</f>
        <v>0</v>
      </c>
      <c r="AX251" s="33">
        <f>K251*AP251</f>
        <v>0</v>
      </c>
      <c r="AY251" s="61" t="s">
        <v>1002</v>
      </c>
      <c r="AZ251" s="61" t="s">
        <v>1024</v>
      </c>
      <c r="BA251" s="58" t="s">
        <v>1037</v>
      </c>
      <c r="BC251" s="33">
        <f>AW251+AX251</f>
        <v>0</v>
      </c>
      <c r="BD251" s="33">
        <f>L251/(100-BE251)*100</f>
        <v>0</v>
      </c>
      <c r="BE251" s="33">
        <v>0</v>
      </c>
      <c r="BF251" s="33">
        <f>251</f>
        <v>251</v>
      </c>
      <c r="BH251" s="54">
        <f>K251*AO251</f>
        <v>0</v>
      </c>
      <c r="BI251" s="54">
        <f>K251*AP251</f>
        <v>0</v>
      </c>
      <c r="BJ251" s="54">
        <f>K251*L251</f>
        <v>0</v>
      </c>
      <c r="BK251" s="54" t="s">
        <v>1047</v>
      </c>
      <c r="BL251" s="33">
        <v>721</v>
      </c>
    </row>
    <row r="252" spans="1:14" ht="12.75">
      <c r="A252" s="17"/>
      <c r="D252" s="143" t="s">
        <v>663</v>
      </c>
      <c r="E252" s="144"/>
      <c r="F252" s="144"/>
      <c r="G252" s="144"/>
      <c r="H252" s="144"/>
      <c r="I252" s="144"/>
      <c r="K252" s="75">
        <v>1</v>
      </c>
      <c r="M252" s="14"/>
      <c r="N252" s="17"/>
    </row>
    <row r="253" spans="1:64" ht="12.75">
      <c r="A253" s="39" t="s">
        <v>121</v>
      </c>
      <c r="B253" s="46" t="s">
        <v>61</v>
      </c>
      <c r="C253" s="46" t="s">
        <v>308</v>
      </c>
      <c r="D253" s="148" t="s">
        <v>664</v>
      </c>
      <c r="E253" s="149"/>
      <c r="F253" s="149"/>
      <c r="G253" s="149"/>
      <c r="H253" s="149"/>
      <c r="I253" s="149"/>
      <c r="J253" s="46" t="s">
        <v>975</v>
      </c>
      <c r="K253" s="78">
        <v>1</v>
      </c>
      <c r="L253" s="54">
        <v>0</v>
      </c>
      <c r="M253" s="66">
        <f>K253*L253</f>
        <v>0</v>
      </c>
      <c r="N253" s="17"/>
      <c r="Z253" s="33">
        <f>IF(AQ253="5",BJ253,0)</f>
        <v>0</v>
      </c>
      <c r="AB253" s="33">
        <f>IF(AQ253="1",BH253,0)</f>
        <v>0</v>
      </c>
      <c r="AC253" s="33">
        <f>IF(AQ253="1",BI253,0)</f>
        <v>0</v>
      </c>
      <c r="AD253" s="33">
        <f>IF(AQ253="7",BH253,0)</f>
        <v>0</v>
      </c>
      <c r="AE253" s="33">
        <f>IF(AQ253="7",BI253,0)</f>
        <v>0</v>
      </c>
      <c r="AF253" s="33">
        <f>IF(AQ253="2",BH253,0)</f>
        <v>0</v>
      </c>
      <c r="AG253" s="33">
        <f>IF(AQ253="2",BI253,0)</f>
        <v>0</v>
      </c>
      <c r="AH253" s="33">
        <f>IF(AQ253="0",BJ253,0)</f>
        <v>0</v>
      </c>
      <c r="AI253" s="58" t="s">
        <v>61</v>
      </c>
      <c r="AJ253" s="54">
        <f>IF(AN253=0,M253,0)</f>
        <v>0</v>
      </c>
      <c r="AK253" s="54">
        <f>IF(AN253=15,M253,0)</f>
        <v>0</v>
      </c>
      <c r="AL253" s="54">
        <f>IF(AN253=21,M253,0)</f>
        <v>0</v>
      </c>
      <c r="AN253" s="33">
        <v>21</v>
      </c>
      <c r="AO253" s="33">
        <f>L253*1</f>
        <v>0</v>
      </c>
      <c r="AP253" s="33">
        <f>L253*(1-1)</f>
        <v>0</v>
      </c>
      <c r="AQ253" s="60" t="s">
        <v>86</v>
      </c>
      <c r="AV253" s="33">
        <f>AW253+AX253</f>
        <v>0</v>
      </c>
      <c r="AW253" s="33">
        <f>K253*AO253</f>
        <v>0</v>
      </c>
      <c r="AX253" s="33">
        <f>K253*AP253</f>
        <v>0</v>
      </c>
      <c r="AY253" s="61" t="s">
        <v>1002</v>
      </c>
      <c r="AZ253" s="61" t="s">
        <v>1024</v>
      </c>
      <c r="BA253" s="58" t="s">
        <v>1037</v>
      </c>
      <c r="BC253" s="33">
        <f>AW253+AX253</f>
        <v>0</v>
      </c>
      <c r="BD253" s="33">
        <f>L253/(100-BE253)*100</f>
        <v>0</v>
      </c>
      <c r="BE253" s="33">
        <v>0</v>
      </c>
      <c r="BF253" s="33">
        <f>253</f>
        <v>253</v>
      </c>
      <c r="BH253" s="54">
        <f>K253*AO253</f>
        <v>0</v>
      </c>
      <c r="BI253" s="54">
        <f>K253*AP253</f>
        <v>0</v>
      </c>
      <c r="BJ253" s="54">
        <f>K253*L253</f>
        <v>0</v>
      </c>
      <c r="BK253" s="54" t="s">
        <v>1047</v>
      </c>
      <c r="BL253" s="33">
        <v>721</v>
      </c>
    </row>
    <row r="254" spans="1:14" ht="12.75">
      <c r="A254" s="17"/>
      <c r="D254" s="143" t="s">
        <v>663</v>
      </c>
      <c r="E254" s="144"/>
      <c r="F254" s="144"/>
      <c r="G254" s="144"/>
      <c r="H254" s="144"/>
      <c r="I254" s="144"/>
      <c r="K254" s="75">
        <v>1</v>
      </c>
      <c r="M254" s="14"/>
      <c r="N254" s="17"/>
    </row>
    <row r="255" spans="1:64" ht="12.75">
      <c r="A255" s="39" t="s">
        <v>122</v>
      </c>
      <c r="B255" s="46" t="s">
        <v>61</v>
      </c>
      <c r="C255" s="46" t="s">
        <v>309</v>
      </c>
      <c r="D255" s="148" t="s">
        <v>665</v>
      </c>
      <c r="E255" s="149"/>
      <c r="F255" s="149"/>
      <c r="G255" s="149"/>
      <c r="H255" s="149"/>
      <c r="I255" s="149"/>
      <c r="J255" s="46" t="s">
        <v>975</v>
      </c>
      <c r="K255" s="78">
        <v>4</v>
      </c>
      <c r="L255" s="54">
        <v>0</v>
      </c>
      <c r="M255" s="66">
        <f>K255*L255</f>
        <v>0</v>
      </c>
      <c r="N255" s="17"/>
      <c r="Z255" s="33">
        <f>IF(AQ255="5",BJ255,0)</f>
        <v>0</v>
      </c>
      <c r="AB255" s="33">
        <f>IF(AQ255="1",BH255,0)</f>
        <v>0</v>
      </c>
      <c r="AC255" s="33">
        <f>IF(AQ255="1",BI255,0)</f>
        <v>0</v>
      </c>
      <c r="AD255" s="33">
        <f>IF(AQ255="7",BH255,0)</f>
        <v>0</v>
      </c>
      <c r="AE255" s="33">
        <f>IF(AQ255="7",BI255,0)</f>
        <v>0</v>
      </c>
      <c r="AF255" s="33">
        <f>IF(AQ255="2",BH255,0)</f>
        <v>0</v>
      </c>
      <c r="AG255" s="33">
        <f>IF(AQ255="2",BI255,0)</f>
        <v>0</v>
      </c>
      <c r="AH255" s="33">
        <f>IF(AQ255="0",BJ255,0)</f>
        <v>0</v>
      </c>
      <c r="AI255" s="58" t="s">
        <v>61</v>
      </c>
      <c r="AJ255" s="54">
        <f>IF(AN255=0,M255,0)</f>
        <v>0</v>
      </c>
      <c r="AK255" s="54">
        <f>IF(AN255=15,M255,0)</f>
        <v>0</v>
      </c>
      <c r="AL255" s="54">
        <f>IF(AN255=21,M255,0)</f>
        <v>0</v>
      </c>
      <c r="AN255" s="33">
        <v>21</v>
      </c>
      <c r="AO255" s="33">
        <f>L255*1</f>
        <v>0</v>
      </c>
      <c r="AP255" s="33">
        <f>L255*(1-1)</f>
        <v>0</v>
      </c>
      <c r="AQ255" s="60" t="s">
        <v>86</v>
      </c>
      <c r="AV255" s="33">
        <f>AW255+AX255</f>
        <v>0</v>
      </c>
      <c r="AW255" s="33">
        <f>K255*AO255</f>
        <v>0</v>
      </c>
      <c r="AX255" s="33">
        <f>K255*AP255</f>
        <v>0</v>
      </c>
      <c r="AY255" s="61" t="s">
        <v>1002</v>
      </c>
      <c r="AZ255" s="61" t="s">
        <v>1024</v>
      </c>
      <c r="BA255" s="58" t="s">
        <v>1037</v>
      </c>
      <c r="BC255" s="33">
        <f>AW255+AX255</f>
        <v>0</v>
      </c>
      <c r="BD255" s="33">
        <f>L255/(100-BE255)*100</f>
        <v>0</v>
      </c>
      <c r="BE255" s="33">
        <v>0</v>
      </c>
      <c r="BF255" s="33">
        <f>255</f>
        <v>255</v>
      </c>
      <c r="BH255" s="54">
        <f>K255*AO255</f>
        <v>0</v>
      </c>
      <c r="BI255" s="54">
        <f>K255*AP255</f>
        <v>0</v>
      </c>
      <c r="BJ255" s="54">
        <f>K255*L255</f>
        <v>0</v>
      </c>
      <c r="BK255" s="54" t="s">
        <v>1047</v>
      </c>
      <c r="BL255" s="33">
        <v>721</v>
      </c>
    </row>
    <row r="256" spans="1:14" ht="12.75">
      <c r="A256" s="17"/>
      <c r="D256" s="143" t="s">
        <v>666</v>
      </c>
      <c r="E256" s="144"/>
      <c r="F256" s="144"/>
      <c r="G256" s="144"/>
      <c r="H256" s="144"/>
      <c r="I256" s="144"/>
      <c r="K256" s="75">
        <v>4</v>
      </c>
      <c r="M256" s="14"/>
      <c r="N256" s="17"/>
    </row>
    <row r="257" spans="1:64" ht="12.75">
      <c r="A257" s="38" t="s">
        <v>123</v>
      </c>
      <c r="B257" s="45" t="s">
        <v>61</v>
      </c>
      <c r="C257" s="45" t="s">
        <v>310</v>
      </c>
      <c r="D257" s="141" t="s">
        <v>667</v>
      </c>
      <c r="E257" s="142"/>
      <c r="F257" s="142"/>
      <c r="G257" s="142"/>
      <c r="H257" s="142"/>
      <c r="I257" s="142"/>
      <c r="J257" s="45" t="s">
        <v>968</v>
      </c>
      <c r="K257" s="74">
        <v>6</v>
      </c>
      <c r="L257" s="53">
        <v>0</v>
      </c>
      <c r="M257" s="65">
        <f>K257*L257</f>
        <v>0</v>
      </c>
      <c r="N257" s="17"/>
      <c r="Z257" s="33">
        <f>IF(AQ257="5",BJ257,0)</f>
        <v>0</v>
      </c>
      <c r="AB257" s="33">
        <f>IF(AQ257="1",BH257,0)</f>
        <v>0</v>
      </c>
      <c r="AC257" s="33">
        <f>IF(AQ257="1",BI257,0)</f>
        <v>0</v>
      </c>
      <c r="AD257" s="33">
        <f>IF(AQ257="7",BH257,0)</f>
        <v>0</v>
      </c>
      <c r="AE257" s="33">
        <f>IF(AQ257="7",BI257,0)</f>
        <v>0</v>
      </c>
      <c r="AF257" s="33">
        <f>IF(AQ257="2",BH257,0)</f>
        <v>0</v>
      </c>
      <c r="AG257" s="33">
        <f>IF(AQ257="2",BI257,0)</f>
        <v>0</v>
      </c>
      <c r="AH257" s="33">
        <f>IF(AQ257="0",BJ257,0)</f>
        <v>0</v>
      </c>
      <c r="AI257" s="58" t="s">
        <v>61</v>
      </c>
      <c r="AJ257" s="53">
        <f>IF(AN257=0,M257,0)</f>
        <v>0</v>
      </c>
      <c r="AK257" s="53">
        <f>IF(AN257=15,M257,0)</f>
        <v>0</v>
      </c>
      <c r="AL257" s="53">
        <f>IF(AN257=21,M257,0)</f>
        <v>0</v>
      </c>
      <c r="AN257" s="33">
        <v>21</v>
      </c>
      <c r="AO257" s="33">
        <f>L257*0</f>
        <v>0</v>
      </c>
      <c r="AP257" s="33">
        <f>L257*(1-0)</f>
        <v>0</v>
      </c>
      <c r="AQ257" s="59" t="s">
        <v>86</v>
      </c>
      <c r="AV257" s="33">
        <f>AW257+AX257</f>
        <v>0</v>
      </c>
      <c r="AW257" s="33">
        <f>K257*AO257</f>
        <v>0</v>
      </c>
      <c r="AX257" s="33">
        <f>K257*AP257</f>
        <v>0</v>
      </c>
      <c r="AY257" s="61" t="s">
        <v>1002</v>
      </c>
      <c r="AZ257" s="61" t="s">
        <v>1024</v>
      </c>
      <c r="BA257" s="58" t="s">
        <v>1037</v>
      </c>
      <c r="BC257" s="33">
        <f>AW257+AX257</f>
        <v>0</v>
      </c>
      <c r="BD257" s="33">
        <f>L257/(100-BE257)*100</f>
        <v>0</v>
      </c>
      <c r="BE257" s="33">
        <v>0</v>
      </c>
      <c r="BF257" s="33">
        <f>257</f>
        <v>257</v>
      </c>
      <c r="BH257" s="53">
        <f>K257*AO257</f>
        <v>0</v>
      </c>
      <c r="BI257" s="53">
        <f>K257*AP257</f>
        <v>0</v>
      </c>
      <c r="BJ257" s="53">
        <f>K257*L257</f>
        <v>0</v>
      </c>
      <c r="BK257" s="53" t="s">
        <v>1046</v>
      </c>
      <c r="BL257" s="33">
        <v>721</v>
      </c>
    </row>
    <row r="258" spans="1:14" ht="12.75">
      <c r="A258" s="17"/>
      <c r="D258" s="143" t="s">
        <v>642</v>
      </c>
      <c r="E258" s="144"/>
      <c r="F258" s="144"/>
      <c r="G258" s="144"/>
      <c r="H258" s="144"/>
      <c r="I258" s="144"/>
      <c r="K258" s="75">
        <v>6</v>
      </c>
      <c r="M258" s="14"/>
      <c r="N258" s="17"/>
    </row>
    <row r="259" spans="1:47" ht="12.75">
      <c r="A259" s="37"/>
      <c r="B259" s="44" t="s">
        <v>61</v>
      </c>
      <c r="C259" s="44" t="s">
        <v>166</v>
      </c>
      <c r="D259" s="139" t="s">
        <v>668</v>
      </c>
      <c r="E259" s="140"/>
      <c r="F259" s="140"/>
      <c r="G259" s="140"/>
      <c r="H259" s="140"/>
      <c r="I259" s="140"/>
      <c r="J259" s="50" t="s">
        <v>59</v>
      </c>
      <c r="K259" s="50" t="s">
        <v>59</v>
      </c>
      <c r="L259" s="50" t="s">
        <v>59</v>
      </c>
      <c r="M259" s="64">
        <f>SUM(M260:M326)</f>
        <v>0</v>
      </c>
      <c r="N259" s="17"/>
      <c r="AI259" s="58" t="s">
        <v>61</v>
      </c>
      <c r="AS259" s="68">
        <f>SUM(AJ260:AJ326)</f>
        <v>0</v>
      </c>
      <c r="AT259" s="68">
        <f>SUM(AK260:AK326)</f>
        <v>0</v>
      </c>
      <c r="AU259" s="68">
        <f>SUM(AL260:AL326)</f>
        <v>0</v>
      </c>
    </row>
    <row r="260" spans="1:64" ht="12.75">
      <c r="A260" s="38" t="s">
        <v>124</v>
      </c>
      <c r="B260" s="45" t="s">
        <v>61</v>
      </c>
      <c r="C260" s="45" t="s">
        <v>311</v>
      </c>
      <c r="D260" s="141" t="s">
        <v>669</v>
      </c>
      <c r="E260" s="142"/>
      <c r="F260" s="142"/>
      <c r="G260" s="142"/>
      <c r="H260" s="142"/>
      <c r="I260" s="142"/>
      <c r="J260" s="45" t="s">
        <v>968</v>
      </c>
      <c r="K260" s="74">
        <v>3</v>
      </c>
      <c r="L260" s="53">
        <v>0</v>
      </c>
      <c r="M260" s="65">
        <f>K260*L260</f>
        <v>0</v>
      </c>
      <c r="N260" s="17"/>
      <c r="Z260" s="33">
        <f>IF(AQ260="5",BJ260,0)</f>
        <v>0</v>
      </c>
      <c r="AB260" s="33">
        <f>IF(AQ260="1",BH260,0)</f>
        <v>0</v>
      </c>
      <c r="AC260" s="33">
        <f>IF(AQ260="1",BI260,0)</f>
        <v>0</v>
      </c>
      <c r="AD260" s="33">
        <f>IF(AQ260="7",BH260,0)</f>
        <v>0</v>
      </c>
      <c r="AE260" s="33">
        <f>IF(AQ260="7",BI260,0)</f>
        <v>0</v>
      </c>
      <c r="AF260" s="33">
        <f>IF(AQ260="2",BH260,0)</f>
        <v>0</v>
      </c>
      <c r="AG260" s="33">
        <f>IF(AQ260="2",BI260,0)</f>
        <v>0</v>
      </c>
      <c r="AH260" s="33">
        <f>IF(AQ260="0",BJ260,0)</f>
        <v>0</v>
      </c>
      <c r="AI260" s="58" t="s">
        <v>61</v>
      </c>
      <c r="AJ260" s="53">
        <f>IF(AN260=0,M260,0)</f>
        <v>0</v>
      </c>
      <c r="AK260" s="53">
        <f>IF(AN260=15,M260,0)</f>
        <v>0</v>
      </c>
      <c r="AL260" s="53">
        <f>IF(AN260=21,M260,0)</f>
        <v>0</v>
      </c>
      <c r="AN260" s="33">
        <v>21</v>
      </c>
      <c r="AO260" s="33">
        <f>L260*0.00434782608695652</f>
        <v>0</v>
      </c>
      <c r="AP260" s="33">
        <f>L260*(1-0.00434782608695652)</f>
        <v>0</v>
      </c>
      <c r="AQ260" s="59" t="s">
        <v>80</v>
      </c>
      <c r="AV260" s="33">
        <f>AW260+AX260</f>
        <v>0</v>
      </c>
      <c r="AW260" s="33">
        <f>K260*AO260</f>
        <v>0</v>
      </c>
      <c r="AX260" s="33">
        <f>K260*AP260</f>
        <v>0</v>
      </c>
      <c r="AY260" s="61" t="s">
        <v>1003</v>
      </c>
      <c r="AZ260" s="61" t="s">
        <v>1025</v>
      </c>
      <c r="BA260" s="58" t="s">
        <v>1037</v>
      </c>
      <c r="BC260" s="33">
        <f>AW260+AX260</f>
        <v>0</v>
      </c>
      <c r="BD260" s="33">
        <f>L260/(100-BE260)*100</f>
        <v>0</v>
      </c>
      <c r="BE260" s="33">
        <v>0</v>
      </c>
      <c r="BF260" s="33">
        <f>260</f>
        <v>260</v>
      </c>
      <c r="BH260" s="53">
        <f>K260*AO260</f>
        <v>0</v>
      </c>
      <c r="BI260" s="53">
        <f>K260*AP260</f>
        <v>0</v>
      </c>
      <c r="BJ260" s="53">
        <f>K260*L260</f>
        <v>0</v>
      </c>
      <c r="BK260" s="53" t="s">
        <v>1046</v>
      </c>
      <c r="BL260" s="33">
        <v>87</v>
      </c>
    </row>
    <row r="261" spans="1:14" ht="12.75">
      <c r="A261" s="17"/>
      <c r="D261" s="143" t="s">
        <v>645</v>
      </c>
      <c r="E261" s="144"/>
      <c r="F261" s="144"/>
      <c r="G261" s="144"/>
      <c r="H261" s="144"/>
      <c r="I261" s="144"/>
      <c r="K261" s="75">
        <v>3</v>
      </c>
      <c r="M261" s="14"/>
      <c r="N261" s="17"/>
    </row>
    <row r="262" spans="1:64" ht="12.75">
      <c r="A262" s="39" t="s">
        <v>125</v>
      </c>
      <c r="B262" s="46" t="s">
        <v>61</v>
      </c>
      <c r="C262" s="46" t="s">
        <v>312</v>
      </c>
      <c r="D262" s="148" t="s">
        <v>670</v>
      </c>
      <c r="E262" s="149"/>
      <c r="F262" s="149"/>
      <c r="G262" s="149"/>
      <c r="H262" s="149"/>
      <c r="I262" s="149"/>
      <c r="J262" s="46" t="s">
        <v>975</v>
      </c>
      <c r="K262" s="78">
        <v>3.09</v>
      </c>
      <c r="L262" s="54">
        <v>0</v>
      </c>
      <c r="M262" s="66">
        <f>K262*L262</f>
        <v>0</v>
      </c>
      <c r="N262" s="17"/>
      <c r="Z262" s="33">
        <f>IF(AQ262="5",BJ262,0)</f>
        <v>0</v>
      </c>
      <c r="AB262" s="33">
        <f>IF(AQ262="1",BH262,0)</f>
        <v>0</v>
      </c>
      <c r="AC262" s="33">
        <f>IF(AQ262="1",BI262,0)</f>
        <v>0</v>
      </c>
      <c r="AD262" s="33">
        <f>IF(AQ262="7",BH262,0)</f>
        <v>0</v>
      </c>
      <c r="AE262" s="33">
        <f>IF(AQ262="7",BI262,0)</f>
        <v>0</v>
      </c>
      <c r="AF262" s="33">
        <f>IF(AQ262="2",BH262,0)</f>
        <v>0</v>
      </c>
      <c r="AG262" s="33">
        <f>IF(AQ262="2",BI262,0)</f>
        <v>0</v>
      </c>
      <c r="AH262" s="33">
        <f>IF(AQ262="0",BJ262,0)</f>
        <v>0</v>
      </c>
      <c r="AI262" s="58" t="s">
        <v>61</v>
      </c>
      <c r="AJ262" s="54">
        <f>IF(AN262=0,M262,0)</f>
        <v>0</v>
      </c>
      <c r="AK262" s="54">
        <f>IF(AN262=15,M262,0)</f>
        <v>0</v>
      </c>
      <c r="AL262" s="54">
        <f>IF(AN262=21,M262,0)</f>
        <v>0</v>
      </c>
      <c r="AN262" s="33">
        <v>21</v>
      </c>
      <c r="AO262" s="33">
        <f>L262*1</f>
        <v>0</v>
      </c>
      <c r="AP262" s="33">
        <f>L262*(1-1)</f>
        <v>0</v>
      </c>
      <c r="AQ262" s="60" t="s">
        <v>80</v>
      </c>
      <c r="AV262" s="33">
        <f>AW262+AX262</f>
        <v>0</v>
      </c>
      <c r="AW262" s="33">
        <f>K262*AO262</f>
        <v>0</v>
      </c>
      <c r="AX262" s="33">
        <f>K262*AP262</f>
        <v>0</v>
      </c>
      <c r="AY262" s="61" t="s">
        <v>1003</v>
      </c>
      <c r="AZ262" s="61" t="s">
        <v>1025</v>
      </c>
      <c r="BA262" s="58" t="s">
        <v>1037</v>
      </c>
      <c r="BC262" s="33">
        <f>AW262+AX262</f>
        <v>0</v>
      </c>
      <c r="BD262" s="33">
        <f>L262/(100-BE262)*100</f>
        <v>0</v>
      </c>
      <c r="BE262" s="33">
        <v>0</v>
      </c>
      <c r="BF262" s="33">
        <f>262</f>
        <v>262</v>
      </c>
      <c r="BH262" s="54">
        <f>K262*AO262</f>
        <v>0</v>
      </c>
      <c r="BI262" s="54">
        <f>K262*AP262</f>
        <v>0</v>
      </c>
      <c r="BJ262" s="54">
        <f>K262*L262</f>
        <v>0</v>
      </c>
      <c r="BK262" s="54" t="s">
        <v>1047</v>
      </c>
      <c r="BL262" s="33">
        <v>87</v>
      </c>
    </row>
    <row r="263" spans="1:14" ht="12.75">
      <c r="A263" s="17"/>
      <c r="D263" s="143" t="s">
        <v>647</v>
      </c>
      <c r="E263" s="144"/>
      <c r="F263" s="144"/>
      <c r="G263" s="144"/>
      <c r="H263" s="144"/>
      <c r="I263" s="144"/>
      <c r="K263" s="75">
        <v>1</v>
      </c>
      <c r="M263" s="14"/>
      <c r="N263" s="17"/>
    </row>
    <row r="264" spans="1:14" ht="12.75">
      <c r="A264" s="17"/>
      <c r="D264" s="143" t="s">
        <v>648</v>
      </c>
      <c r="E264" s="144"/>
      <c r="F264" s="144"/>
      <c r="G264" s="144"/>
      <c r="H264" s="144"/>
      <c r="I264" s="144"/>
      <c r="K264" s="75">
        <v>1</v>
      </c>
      <c r="M264" s="14"/>
      <c r="N264" s="17"/>
    </row>
    <row r="265" spans="1:14" ht="12.75">
      <c r="A265" s="17"/>
      <c r="D265" s="143" t="s">
        <v>649</v>
      </c>
      <c r="E265" s="144"/>
      <c r="F265" s="144"/>
      <c r="G265" s="144"/>
      <c r="H265" s="144"/>
      <c r="I265" s="144"/>
      <c r="K265" s="75">
        <v>1</v>
      </c>
      <c r="M265" s="14"/>
      <c r="N265" s="17"/>
    </row>
    <row r="266" spans="1:14" ht="12.75">
      <c r="A266" s="17"/>
      <c r="D266" s="143" t="s">
        <v>650</v>
      </c>
      <c r="E266" s="144"/>
      <c r="F266" s="144"/>
      <c r="G266" s="144"/>
      <c r="H266" s="144"/>
      <c r="I266" s="144"/>
      <c r="K266" s="75">
        <v>0.09</v>
      </c>
      <c r="M266" s="14"/>
      <c r="N266" s="17"/>
    </row>
    <row r="267" spans="1:64" ht="12.75">
      <c r="A267" s="38" t="s">
        <v>126</v>
      </c>
      <c r="B267" s="45" t="s">
        <v>61</v>
      </c>
      <c r="C267" s="45" t="s">
        <v>313</v>
      </c>
      <c r="D267" s="141" t="s">
        <v>671</v>
      </c>
      <c r="E267" s="142"/>
      <c r="F267" s="142"/>
      <c r="G267" s="142"/>
      <c r="H267" s="142"/>
      <c r="I267" s="142"/>
      <c r="J267" s="45" t="s">
        <v>968</v>
      </c>
      <c r="K267" s="74">
        <v>142.38</v>
      </c>
      <c r="L267" s="53">
        <v>0</v>
      </c>
      <c r="M267" s="65">
        <f>K267*L267</f>
        <v>0</v>
      </c>
      <c r="N267" s="17"/>
      <c r="Z267" s="33">
        <f>IF(AQ267="5",BJ267,0)</f>
        <v>0</v>
      </c>
      <c r="AB267" s="33">
        <f>IF(AQ267="1",BH267,0)</f>
        <v>0</v>
      </c>
      <c r="AC267" s="33">
        <f>IF(AQ267="1",BI267,0)</f>
        <v>0</v>
      </c>
      <c r="AD267" s="33">
        <f>IF(AQ267="7",BH267,0)</f>
        <v>0</v>
      </c>
      <c r="AE267" s="33">
        <f>IF(AQ267="7",BI267,0)</f>
        <v>0</v>
      </c>
      <c r="AF267" s="33">
        <f>IF(AQ267="2",BH267,0)</f>
        <v>0</v>
      </c>
      <c r="AG267" s="33">
        <f>IF(AQ267="2",BI267,0)</f>
        <v>0</v>
      </c>
      <c r="AH267" s="33">
        <f>IF(AQ267="0",BJ267,0)</f>
        <v>0</v>
      </c>
      <c r="AI267" s="58" t="s">
        <v>61</v>
      </c>
      <c r="AJ267" s="53">
        <f>IF(AN267=0,M267,0)</f>
        <v>0</v>
      </c>
      <c r="AK267" s="53">
        <f>IF(AN267=15,M267,0)</f>
        <v>0</v>
      </c>
      <c r="AL267" s="53">
        <f>IF(AN267=21,M267,0)</f>
        <v>0</v>
      </c>
      <c r="AN267" s="33">
        <v>21</v>
      </c>
      <c r="AO267" s="33">
        <f>L267*0.00468445906715696</f>
        <v>0</v>
      </c>
      <c r="AP267" s="33">
        <f>L267*(1-0.00468445906715696)</f>
        <v>0</v>
      </c>
      <c r="AQ267" s="59" t="s">
        <v>80</v>
      </c>
      <c r="AV267" s="33">
        <f>AW267+AX267</f>
        <v>0</v>
      </c>
      <c r="AW267" s="33">
        <f>K267*AO267</f>
        <v>0</v>
      </c>
      <c r="AX267" s="33">
        <f>K267*AP267</f>
        <v>0</v>
      </c>
      <c r="AY267" s="61" t="s">
        <v>1003</v>
      </c>
      <c r="AZ267" s="61" t="s">
        <v>1025</v>
      </c>
      <c r="BA267" s="58" t="s">
        <v>1037</v>
      </c>
      <c r="BC267" s="33">
        <f>AW267+AX267</f>
        <v>0</v>
      </c>
      <c r="BD267" s="33">
        <f>L267/(100-BE267)*100</f>
        <v>0</v>
      </c>
      <c r="BE267" s="33">
        <v>0</v>
      </c>
      <c r="BF267" s="33">
        <f>267</f>
        <v>267</v>
      </c>
      <c r="BH267" s="53">
        <f>K267*AO267</f>
        <v>0</v>
      </c>
      <c r="BI267" s="53">
        <f>K267*AP267</f>
        <v>0</v>
      </c>
      <c r="BJ267" s="53">
        <f>K267*L267</f>
        <v>0</v>
      </c>
      <c r="BK267" s="53" t="s">
        <v>1046</v>
      </c>
      <c r="BL267" s="33">
        <v>87</v>
      </c>
    </row>
    <row r="268" spans="1:14" ht="12.75">
      <c r="A268" s="17"/>
      <c r="D268" s="143" t="s">
        <v>611</v>
      </c>
      <c r="E268" s="144"/>
      <c r="F268" s="144"/>
      <c r="G268" s="144"/>
      <c r="H268" s="144"/>
      <c r="I268" s="144"/>
      <c r="K268" s="75">
        <v>47.57</v>
      </c>
      <c r="M268" s="14"/>
      <c r="N268" s="17"/>
    </row>
    <row r="269" spans="1:14" ht="12.75">
      <c r="A269" s="17"/>
      <c r="D269" s="143" t="s">
        <v>612</v>
      </c>
      <c r="E269" s="144"/>
      <c r="F269" s="144"/>
      <c r="G269" s="144"/>
      <c r="H269" s="144"/>
      <c r="I269" s="144"/>
      <c r="K269" s="75">
        <v>94.81</v>
      </c>
      <c r="M269" s="14"/>
      <c r="N269" s="17"/>
    </row>
    <row r="270" spans="1:64" ht="12.75">
      <c r="A270" s="39" t="s">
        <v>127</v>
      </c>
      <c r="B270" s="46" t="s">
        <v>61</v>
      </c>
      <c r="C270" s="46" t="s">
        <v>314</v>
      </c>
      <c r="D270" s="148" t="s">
        <v>672</v>
      </c>
      <c r="E270" s="149"/>
      <c r="F270" s="149"/>
      <c r="G270" s="149"/>
      <c r="H270" s="149"/>
      <c r="I270" s="149"/>
      <c r="J270" s="46" t="s">
        <v>975</v>
      </c>
      <c r="K270" s="78">
        <v>11</v>
      </c>
      <c r="L270" s="54">
        <v>0</v>
      </c>
      <c r="M270" s="66">
        <f>K270*L270</f>
        <v>0</v>
      </c>
      <c r="N270" s="17"/>
      <c r="Z270" s="33">
        <f>IF(AQ270="5",BJ270,0)</f>
        <v>0</v>
      </c>
      <c r="AB270" s="33">
        <f>IF(AQ270="1",BH270,0)</f>
        <v>0</v>
      </c>
      <c r="AC270" s="33">
        <f>IF(AQ270="1",BI270,0)</f>
        <v>0</v>
      </c>
      <c r="AD270" s="33">
        <f>IF(AQ270="7",BH270,0)</f>
        <v>0</v>
      </c>
      <c r="AE270" s="33">
        <f>IF(AQ270="7",BI270,0)</f>
        <v>0</v>
      </c>
      <c r="AF270" s="33">
        <f>IF(AQ270="2",BH270,0)</f>
        <v>0</v>
      </c>
      <c r="AG270" s="33">
        <f>IF(AQ270="2",BI270,0)</f>
        <v>0</v>
      </c>
      <c r="AH270" s="33">
        <f>IF(AQ270="0",BJ270,0)</f>
        <v>0</v>
      </c>
      <c r="AI270" s="58" t="s">
        <v>61</v>
      </c>
      <c r="AJ270" s="54">
        <f>IF(AN270=0,M270,0)</f>
        <v>0</v>
      </c>
      <c r="AK270" s="54">
        <f>IF(AN270=15,M270,0)</f>
        <v>0</v>
      </c>
      <c r="AL270" s="54">
        <f>IF(AN270=21,M270,0)</f>
        <v>0</v>
      </c>
      <c r="AN270" s="33">
        <v>21</v>
      </c>
      <c r="AO270" s="33">
        <f>L270*1</f>
        <v>0</v>
      </c>
      <c r="AP270" s="33">
        <f>L270*(1-1)</f>
        <v>0</v>
      </c>
      <c r="AQ270" s="60" t="s">
        <v>80</v>
      </c>
      <c r="AV270" s="33">
        <f>AW270+AX270</f>
        <v>0</v>
      </c>
      <c r="AW270" s="33">
        <f>K270*AO270</f>
        <v>0</v>
      </c>
      <c r="AX270" s="33">
        <f>K270*AP270</f>
        <v>0</v>
      </c>
      <c r="AY270" s="61" t="s">
        <v>1003</v>
      </c>
      <c r="AZ270" s="61" t="s">
        <v>1025</v>
      </c>
      <c r="BA270" s="58" t="s">
        <v>1037</v>
      </c>
      <c r="BC270" s="33">
        <f>AW270+AX270</f>
        <v>0</v>
      </c>
      <c r="BD270" s="33">
        <f>L270/(100-BE270)*100</f>
        <v>0</v>
      </c>
      <c r="BE270" s="33">
        <v>0</v>
      </c>
      <c r="BF270" s="33">
        <f>270</f>
        <v>270</v>
      </c>
      <c r="BH270" s="54">
        <f>K270*AO270</f>
        <v>0</v>
      </c>
      <c r="BI270" s="54">
        <f>K270*AP270</f>
        <v>0</v>
      </c>
      <c r="BJ270" s="54">
        <f>K270*L270</f>
        <v>0</v>
      </c>
      <c r="BK270" s="54" t="s">
        <v>1047</v>
      </c>
      <c r="BL270" s="33">
        <v>87</v>
      </c>
    </row>
    <row r="271" spans="1:14" ht="12.75">
      <c r="A271" s="17"/>
      <c r="D271" s="143" t="s">
        <v>436</v>
      </c>
      <c r="E271" s="144"/>
      <c r="F271" s="144"/>
      <c r="G271" s="144"/>
      <c r="H271" s="144"/>
      <c r="I271" s="144"/>
      <c r="K271" s="75">
        <v>2</v>
      </c>
      <c r="M271" s="14"/>
      <c r="N271" s="17"/>
    </row>
    <row r="272" spans="1:14" ht="12.75">
      <c r="A272" s="17"/>
      <c r="D272" s="143" t="s">
        <v>673</v>
      </c>
      <c r="E272" s="144"/>
      <c r="F272" s="144"/>
      <c r="G272" s="144"/>
      <c r="H272" s="144"/>
      <c r="I272" s="144"/>
      <c r="K272" s="75">
        <v>1</v>
      </c>
      <c r="M272" s="14"/>
      <c r="N272" s="17"/>
    </row>
    <row r="273" spans="1:14" ht="12.75">
      <c r="A273" s="17"/>
      <c r="D273" s="143" t="s">
        <v>674</v>
      </c>
      <c r="E273" s="144"/>
      <c r="F273" s="144"/>
      <c r="G273" s="144"/>
      <c r="H273" s="144"/>
      <c r="I273" s="144"/>
      <c r="K273" s="75">
        <v>1</v>
      </c>
      <c r="M273" s="14"/>
      <c r="N273" s="17"/>
    </row>
    <row r="274" spans="1:14" ht="12.75">
      <c r="A274" s="17"/>
      <c r="D274" s="143" t="s">
        <v>439</v>
      </c>
      <c r="E274" s="144"/>
      <c r="F274" s="144"/>
      <c r="G274" s="144"/>
      <c r="H274" s="144"/>
      <c r="I274" s="144"/>
      <c r="K274" s="75">
        <v>2</v>
      </c>
      <c r="M274" s="14"/>
      <c r="N274" s="17"/>
    </row>
    <row r="275" spans="1:14" ht="12.75">
      <c r="A275" s="17"/>
      <c r="D275" s="143" t="s">
        <v>675</v>
      </c>
      <c r="E275" s="144"/>
      <c r="F275" s="144"/>
      <c r="G275" s="144"/>
      <c r="H275" s="144"/>
      <c r="I275" s="144"/>
      <c r="K275" s="75">
        <v>1</v>
      </c>
      <c r="M275" s="14"/>
      <c r="N275" s="17"/>
    </row>
    <row r="276" spans="1:14" ht="12.75">
      <c r="A276" s="17"/>
      <c r="D276" s="143" t="s">
        <v>676</v>
      </c>
      <c r="E276" s="144"/>
      <c r="F276" s="144"/>
      <c r="G276" s="144"/>
      <c r="H276" s="144"/>
      <c r="I276" s="144"/>
      <c r="K276" s="75">
        <v>2</v>
      </c>
      <c r="M276" s="14"/>
      <c r="N276" s="17"/>
    </row>
    <row r="277" spans="1:14" ht="12.75">
      <c r="A277" s="17"/>
      <c r="D277" s="143" t="s">
        <v>677</v>
      </c>
      <c r="E277" s="144"/>
      <c r="F277" s="144"/>
      <c r="G277" s="144"/>
      <c r="H277" s="144"/>
      <c r="I277" s="144"/>
      <c r="K277" s="75">
        <v>1</v>
      </c>
      <c r="M277" s="14"/>
      <c r="N277" s="17"/>
    </row>
    <row r="278" spans="1:14" ht="12.75">
      <c r="A278" s="17"/>
      <c r="D278" s="143" t="s">
        <v>678</v>
      </c>
      <c r="E278" s="144"/>
      <c r="F278" s="144"/>
      <c r="G278" s="144"/>
      <c r="H278" s="144"/>
      <c r="I278" s="144"/>
      <c r="K278" s="75">
        <v>1</v>
      </c>
      <c r="M278" s="14"/>
      <c r="N278" s="17"/>
    </row>
    <row r="279" spans="1:64" ht="12.75">
      <c r="A279" s="39" t="s">
        <v>128</v>
      </c>
      <c r="B279" s="46" t="s">
        <v>61</v>
      </c>
      <c r="C279" s="46" t="s">
        <v>302</v>
      </c>
      <c r="D279" s="148" t="s">
        <v>654</v>
      </c>
      <c r="E279" s="149"/>
      <c r="F279" s="149"/>
      <c r="G279" s="149"/>
      <c r="H279" s="149"/>
      <c r="I279" s="149"/>
      <c r="J279" s="46" t="s">
        <v>975</v>
      </c>
      <c r="K279" s="78">
        <v>7</v>
      </c>
      <c r="L279" s="54">
        <v>0</v>
      </c>
      <c r="M279" s="66">
        <f>K279*L279</f>
        <v>0</v>
      </c>
      <c r="N279" s="17"/>
      <c r="Z279" s="33">
        <f>IF(AQ279="5",BJ279,0)</f>
        <v>0</v>
      </c>
      <c r="AB279" s="33">
        <f>IF(AQ279="1",BH279,0)</f>
        <v>0</v>
      </c>
      <c r="AC279" s="33">
        <f>IF(AQ279="1",BI279,0)</f>
        <v>0</v>
      </c>
      <c r="AD279" s="33">
        <f>IF(AQ279="7",BH279,0)</f>
        <v>0</v>
      </c>
      <c r="AE279" s="33">
        <f>IF(AQ279="7",BI279,0)</f>
        <v>0</v>
      </c>
      <c r="AF279" s="33">
        <f>IF(AQ279="2",BH279,0)</f>
        <v>0</v>
      </c>
      <c r="AG279" s="33">
        <f>IF(AQ279="2",BI279,0)</f>
        <v>0</v>
      </c>
      <c r="AH279" s="33">
        <f>IF(AQ279="0",BJ279,0)</f>
        <v>0</v>
      </c>
      <c r="AI279" s="58" t="s">
        <v>61</v>
      </c>
      <c r="AJ279" s="54">
        <f>IF(AN279=0,M279,0)</f>
        <v>0</v>
      </c>
      <c r="AK279" s="54">
        <f>IF(AN279=15,M279,0)</f>
        <v>0</v>
      </c>
      <c r="AL279" s="54">
        <f>IF(AN279=21,M279,0)</f>
        <v>0</v>
      </c>
      <c r="AN279" s="33">
        <v>21</v>
      </c>
      <c r="AO279" s="33">
        <f>L279*1</f>
        <v>0</v>
      </c>
      <c r="AP279" s="33">
        <f>L279*(1-1)</f>
        <v>0</v>
      </c>
      <c r="AQ279" s="60" t="s">
        <v>80</v>
      </c>
      <c r="AV279" s="33">
        <f>AW279+AX279</f>
        <v>0</v>
      </c>
      <c r="AW279" s="33">
        <f>K279*AO279</f>
        <v>0</v>
      </c>
      <c r="AX279" s="33">
        <f>K279*AP279</f>
        <v>0</v>
      </c>
      <c r="AY279" s="61" t="s">
        <v>1003</v>
      </c>
      <c r="AZ279" s="61" t="s">
        <v>1025</v>
      </c>
      <c r="BA279" s="58" t="s">
        <v>1037</v>
      </c>
      <c r="BC279" s="33">
        <f>AW279+AX279</f>
        <v>0</v>
      </c>
      <c r="BD279" s="33">
        <f>L279/(100-BE279)*100</f>
        <v>0</v>
      </c>
      <c r="BE279" s="33">
        <v>0</v>
      </c>
      <c r="BF279" s="33">
        <f>279</f>
        <v>279</v>
      </c>
      <c r="BH279" s="54">
        <f>K279*AO279</f>
        <v>0</v>
      </c>
      <c r="BI279" s="54">
        <f>K279*AP279</f>
        <v>0</v>
      </c>
      <c r="BJ279" s="54">
        <f>K279*L279</f>
        <v>0</v>
      </c>
      <c r="BK279" s="54" t="s">
        <v>1047</v>
      </c>
      <c r="BL279" s="33">
        <v>87</v>
      </c>
    </row>
    <row r="280" spans="1:14" ht="12.75">
      <c r="A280" s="17"/>
      <c r="D280" s="143" t="s">
        <v>673</v>
      </c>
      <c r="E280" s="144"/>
      <c r="F280" s="144"/>
      <c r="G280" s="144"/>
      <c r="H280" s="144"/>
      <c r="I280" s="144"/>
      <c r="K280" s="75">
        <v>1</v>
      </c>
      <c r="M280" s="14"/>
      <c r="N280" s="17"/>
    </row>
    <row r="281" spans="1:14" ht="12.75">
      <c r="A281" s="17"/>
      <c r="D281" s="143" t="s">
        <v>679</v>
      </c>
      <c r="E281" s="144"/>
      <c r="F281" s="144"/>
      <c r="G281" s="144"/>
      <c r="H281" s="144"/>
      <c r="I281" s="144"/>
      <c r="K281" s="75">
        <v>1</v>
      </c>
      <c r="M281" s="14"/>
      <c r="N281" s="17"/>
    </row>
    <row r="282" spans="1:14" ht="12.75">
      <c r="A282" s="17"/>
      <c r="D282" s="143" t="s">
        <v>438</v>
      </c>
      <c r="E282" s="144"/>
      <c r="F282" s="144"/>
      <c r="G282" s="144"/>
      <c r="H282" s="144"/>
      <c r="I282" s="144"/>
      <c r="K282" s="75">
        <v>2</v>
      </c>
      <c r="M282" s="14"/>
      <c r="N282" s="17"/>
    </row>
    <row r="283" spans="1:14" ht="12.75">
      <c r="A283" s="17"/>
      <c r="D283" s="143" t="s">
        <v>675</v>
      </c>
      <c r="E283" s="144"/>
      <c r="F283" s="144"/>
      <c r="G283" s="144"/>
      <c r="H283" s="144"/>
      <c r="I283" s="144"/>
      <c r="K283" s="75">
        <v>1</v>
      </c>
      <c r="M283" s="14"/>
      <c r="N283" s="17"/>
    </row>
    <row r="284" spans="1:14" ht="12.75">
      <c r="A284" s="17"/>
      <c r="D284" s="143" t="s">
        <v>649</v>
      </c>
      <c r="E284" s="144"/>
      <c r="F284" s="144"/>
      <c r="G284" s="144"/>
      <c r="H284" s="144"/>
      <c r="I284" s="144"/>
      <c r="K284" s="75">
        <v>1</v>
      </c>
      <c r="M284" s="14"/>
      <c r="N284" s="17"/>
    </row>
    <row r="285" spans="1:14" ht="12.75">
      <c r="A285" s="17"/>
      <c r="D285" s="143" t="s">
        <v>680</v>
      </c>
      <c r="E285" s="144"/>
      <c r="F285" s="144"/>
      <c r="G285" s="144"/>
      <c r="H285" s="144"/>
      <c r="I285" s="144"/>
      <c r="K285" s="75">
        <v>1</v>
      </c>
      <c r="M285" s="14"/>
      <c r="N285" s="17"/>
    </row>
    <row r="286" spans="1:64" ht="12.75">
      <c r="A286" s="39" t="s">
        <v>129</v>
      </c>
      <c r="B286" s="46" t="s">
        <v>61</v>
      </c>
      <c r="C286" s="46" t="s">
        <v>315</v>
      </c>
      <c r="D286" s="148" t="s">
        <v>681</v>
      </c>
      <c r="E286" s="149"/>
      <c r="F286" s="149"/>
      <c r="G286" s="149"/>
      <c r="H286" s="149"/>
      <c r="I286" s="149"/>
      <c r="J286" s="46" t="s">
        <v>975</v>
      </c>
      <c r="K286" s="78">
        <v>3</v>
      </c>
      <c r="L286" s="54">
        <v>0</v>
      </c>
      <c r="M286" s="66">
        <f>K286*L286</f>
        <v>0</v>
      </c>
      <c r="N286" s="17"/>
      <c r="Z286" s="33">
        <f>IF(AQ286="5",BJ286,0)</f>
        <v>0</v>
      </c>
      <c r="AB286" s="33">
        <f>IF(AQ286="1",BH286,0)</f>
        <v>0</v>
      </c>
      <c r="AC286" s="33">
        <f>IF(AQ286="1",BI286,0)</f>
        <v>0</v>
      </c>
      <c r="AD286" s="33">
        <f>IF(AQ286="7",BH286,0)</f>
        <v>0</v>
      </c>
      <c r="AE286" s="33">
        <f>IF(AQ286="7",BI286,0)</f>
        <v>0</v>
      </c>
      <c r="AF286" s="33">
        <f>IF(AQ286="2",BH286,0)</f>
        <v>0</v>
      </c>
      <c r="AG286" s="33">
        <f>IF(AQ286="2",BI286,0)</f>
        <v>0</v>
      </c>
      <c r="AH286" s="33">
        <f>IF(AQ286="0",BJ286,0)</f>
        <v>0</v>
      </c>
      <c r="AI286" s="58" t="s">
        <v>61</v>
      </c>
      <c r="AJ286" s="54">
        <f>IF(AN286=0,M286,0)</f>
        <v>0</v>
      </c>
      <c r="AK286" s="54">
        <f>IF(AN286=15,M286,0)</f>
        <v>0</v>
      </c>
      <c r="AL286" s="54">
        <f>IF(AN286=21,M286,0)</f>
        <v>0</v>
      </c>
      <c r="AN286" s="33">
        <v>21</v>
      </c>
      <c r="AO286" s="33">
        <f>L286*1</f>
        <v>0</v>
      </c>
      <c r="AP286" s="33">
        <f>L286*(1-1)</f>
        <v>0</v>
      </c>
      <c r="AQ286" s="60" t="s">
        <v>80</v>
      </c>
      <c r="AV286" s="33">
        <f>AW286+AX286</f>
        <v>0</v>
      </c>
      <c r="AW286" s="33">
        <f>K286*AO286</f>
        <v>0</v>
      </c>
      <c r="AX286" s="33">
        <f>K286*AP286</f>
        <v>0</v>
      </c>
      <c r="AY286" s="61" t="s">
        <v>1003</v>
      </c>
      <c r="AZ286" s="61" t="s">
        <v>1025</v>
      </c>
      <c r="BA286" s="58" t="s">
        <v>1037</v>
      </c>
      <c r="BC286" s="33">
        <f>AW286+AX286</f>
        <v>0</v>
      </c>
      <c r="BD286" s="33">
        <f>L286/(100-BE286)*100</f>
        <v>0</v>
      </c>
      <c r="BE286" s="33">
        <v>0</v>
      </c>
      <c r="BF286" s="33">
        <f>286</f>
        <v>286</v>
      </c>
      <c r="BH286" s="54">
        <f>K286*AO286</f>
        <v>0</v>
      </c>
      <c r="BI286" s="54">
        <f>K286*AP286</f>
        <v>0</v>
      </c>
      <c r="BJ286" s="54">
        <f>K286*L286</f>
        <v>0</v>
      </c>
      <c r="BK286" s="54" t="s">
        <v>1047</v>
      </c>
      <c r="BL286" s="33">
        <v>87</v>
      </c>
    </row>
    <row r="287" spans="1:14" ht="12.75">
      <c r="A287" s="17"/>
      <c r="D287" s="143" t="s">
        <v>436</v>
      </c>
      <c r="E287" s="144"/>
      <c r="F287" s="144"/>
      <c r="G287" s="144"/>
      <c r="H287" s="144"/>
      <c r="I287" s="144"/>
      <c r="K287" s="75">
        <v>2</v>
      </c>
      <c r="M287" s="14"/>
      <c r="N287" s="17"/>
    </row>
    <row r="288" spans="1:14" ht="12.75">
      <c r="A288" s="17"/>
      <c r="D288" s="143" t="s">
        <v>679</v>
      </c>
      <c r="E288" s="144"/>
      <c r="F288" s="144"/>
      <c r="G288" s="144"/>
      <c r="H288" s="144"/>
      <c r="I288" s="144"/>
      <c r="K288" s="75">
        <v>1</v>
      </c>
      <c r="M288" s="14"/>
      <c r="N288" s="17"/>
    </row>
    <row r="289" spans="1:64" ht="12.75">
      <c r="A289" s="38" t="s">
        <v>130</v>
      </c>
      <c r="B289" s="45" t="s">
        <v>61</v>
      </c>
      <c r="C289" s="45" t="s">
        <v>316</v>
      </c>
      <c r="D289" s="141" t="s">
        <v>682</v>
      </c>
      <c r="E289" s="142"/>
      <c r="F289" s="142"/>
      <c r="G289" s="142"/>
      <c r="H289" s="142"/>
      <c r="I289" s="142"/>
      <c r="J289" s="45" t="s">
        <v>968</v>
      </c>
      <c r="K289" s="74">
        <v>29.18</v>
      </c>
      <c r="L289" s="53">
        <v>0</v>
      </c>
      <c r="M289" s="65">
        <f>K289*L289</f>
        <v>0</v>
      </c>
      <c r="N289" s="17"/>
      <c r="Z289" s="33">
        <f>IF(AQ289="5",BJ289,0)</f>
        <v>0</v>
      </c>
      <c r="AB289" s="33">
        <f>IF(AQ289="1",BH289,0)</f>
        <v>0</v>
      </c>
      <c r="AC289" s="33">
        <f>IF(AQ289="1",BI289,0)</f>
        <v>0</v>
      </c>
      <c r="AD289" s="33">
        <f>IF(AQ289="7",BH289,0)</f>
        <v>0</v>
      </c>
      <c r="AE289" s="33">
        <f>IF(AQ289="7",BI289,0)</f>
        <v>0</v>
      </c>
      <c r="AF289" s="33">
        <f>IF(AQ289="2",BH289,0)</f>
        <v>0</v>
      </c>
      <c r="AG289" s="33">
        <f>IF(AQ289="2",BI289,0)</f>
        <v>0</v>
      </c>
      <c r="AH289" s="33">
        <f>IF(AQ289="0",BJ289,0)</f>
        <v>0</v>
      </c>
      <c r="AI289" s="58" t="s">
        <v>61</v>
      </c>
      <c r="AJ289" s="53">
        <f>IF(AN289=0,M289,0)</f>
        <v>0</v>
      </c>
      <c r="AK289" s="53">
        <f>IF(AN289=15,M289,0)</f>
        <v>0</v>
      </c>
      <c r="AL289" s="53">
        <f>IF(AN289=21,M289,0)</f>
        <v>0</v>
      </c>
      <c r="AN289" s="33">
        <v>21</v>
      </c>
      <c r="AO289" s="33">
        <f>L289*0.00533065400073073</f>
        <v>0</v>
      </c>
      <c r="AP289" s="33">
        <f>L289*(1-0.00533065400073073)</f>
        <v>0</v>
      </c>
      <c r="AQ289" s="59" t="s">
        <v>80</v>
      </c>
      <c r="AV289" s="33">
        <f>AW289+AX289</f>
        <v>0</v>
      </c>
      <c r="AW289" s="33">
        <f>K289*AO289</f>
        <v>0</v>
      </c>
      <c r="AX289" s="33">
        <f>K289*AP289</f>
        <v>0</v>
      </c>
      <c r="AY289" s="61" t="s">
        <v>1003</v>
      </c>
      <c r="AZ289" s="61" t="s">
        <v>1025</v>
      </c>
      <c r="BA289" s="58" t="s">
        <v>1037</v>
      </c>
      <c r="BC289" s="33">
        <f>AW289+AX289</f>
        <v>0</v>
      </c>
      <c r="BD289" s="33">
        <f>L289/(100-BE289)*100</f>
        <v>0</v>
      </c>
      <c r="BE289" s="33">
        <v>0</v>
      </c>
      <c r="BF289" s="33">
        <f>289</f>
        <v>289</v>
      </c>
      <c r="BH289" s="53">
        <f>K289*AO289</f>
        <v>0</v>
      </c>
      <c r="BI289" s="53">
        <f>K289*AP289</f>
        <v>0</v>
      </c>
      <c r="BJ289" s="53">
        <f>K289*L289</f>
        <v>0</v>
      </c>
      <c r="BK289" s="53" t="s">
        <v>1046</v>
      </c>
      <c r="BL289" s="33">
        <v>87</v>
      </c>
    </row>
    <row r="290" spans="1:14" ht="12.75">
      <c r="A290" s="17"/>
      <c r="D290" s="143" t="s">
        <v>613</v>
      </c>
      <c r="E290" s="144"/>
      <c r="F290" s="144"/>
      <c r="G290" s="144"/>
      <c r="H290" s="144"/>
      <c r="I290" s="144"/>
      <c r="K290" s="75">
        <v>22.18</v>
      </c>
      <c r="M290" s="14"/>
      <c r="N290" s="17"/>
    </row>
    <row r="291" spans="1:14" ht="12.75">
      <c r="A291" s="17"/>
      <c r="D291" s="143" t="s">
        <v>683</v>
      </c>
      <c r="E291" s="144"/>
      <c r="F291" s="144"/>
      <c r="G291" s="144"/>
      <c r="H291" s="144"/>
      <c r="I291" s="144"/>
      <c r="K291" s="75">
        <v>7</v>
      </c>
      <c r="M291" s="14"/>
      <c r="N291" s="17"/>
    </row>
    <row r="292" spans="1:64" ht="12.75">
      <c r="A292" s="39" t="s">
        <v>131</v>
      </c>
      <c r="B292" s="46" t="s">
        <v>61</v>
      </c>
      <c r="C292" s="46" t="s">
        <v>317</v>
      </c>
      <c r="D292" s="148" t="s">
        <v>684</v>
      </c>
      <c r="E292" s="149"/>
      <c r="F292" s="149"/>
      <c r="G292" s="149"/>
      <c r="H292" s="149"/>
      <c r="I292" s="149"/>
      <c r="J292" s="46" t="s">
        <v>975</v>
      </c>
      <c r="K292" s="78">
        <v>3</v>
      </c>
      <c r="L292" s="54">
        <v>0</v>
      </c>
      <c r="M292" s="66">
        <f>K292*L292</f>
        <v>0</v>
      </c>
      <c r="N292" s="17"/>
      <c r="Z292" s="33">
        <f>IF(AQ292="5",BJ292,0)</f>
        <v>0</v>
      </c>
      <c r="AB292" s="33">
        <f>IF(AQ292="1",BH292,0)</f>
        <v>0</v>
      </c>
      <c r="AC292" s="33">
        <f>IF(AQ292="1",BI292,0)</f>
        <v>0</v>
      </c>
      <c r="AD292" s="33">
        <f>IF(AQ292="7",BH292,0)</f>
        <v>0</v>
      </c>
      <c r="AE292" s="33">
        <f>IF(AQ292="7",BI292,0)</f>
        <v>0</v>
      </c>
      <c r="AF292" s="33">
        <f>IF(AQ292="2",BH292,0)</f>
        <v>0</v>
      </c>
      <c r="AG292" s="33">
        <f>IF(AQ292="2",BI292,0)</f>
        <v>0</v>
      </c>
      <c r="AH292" s="33">
        <f>IF(AQ292="0",BJ292,0)</f>
        <v>0</v>
      </c>
      <c r="AI292" s="58" t="s">
        <v>61</v>
      </c>
      <c r="AJ292" s="54">
        <f>IF(AN292=0,M292,0)</f>
        <v>0</v>
      </c>
      <c r="AK292" s="54">
        <f>IF(AN292=15,M292,0)</f>
        <v>0</v>
      </c>
      <c r="AL292" s="54">
        <f>IF(AN292=21,M292,0)</f>
        <v>0</v>
      </c>
      <c r="AN292" s="33">
        <v>21</v>
      </c>
      <c r="AO292" s="33">
        <f>L292*1</f>
        <v>0</v>
      </c>
      <c r="AP292" s="33">
        <f>L292*(1-1)</f>
        <v>0</v>
      </c>
      <c r="AQ292" s="60" t="s">
        <v>80</v>
      </c>
      <c r="AV292" s="33">
        <f>AW292+AX292</f>
        <v>0</v>
      </c>
      <c r="AW292" s="33">
        <f>K292*AO292</f>
        <v>0</v>
      </c>
      <c r="AX292" s="33">
        <f>K292*AP292</f>
        <v>0</v>
      </c>
      <c r="AY292" s="61" t="s">
        <v>1003</v>
      </c>
      <c r="AZ292" s="61" t="s">
        <v>1025</v>
      </c>
      <c r="BA292" s="58" t="s">
        <v>1037</v>
      </c>
      <c r="BC292" s="33">
        <f>AW292+AX292</f>
        <v>0</v>
      </c>
      <c r="BD292" s="33">
        <f>L292/(100-BE292)*100</f>
        <v>0</v>
      </c>
      <c r="BE292" s="33">
        <v>0</v>
      </c>
      <c r="BF292" s="33">
        <f>292</f>
        <v>292</v>
      </c>
      <c r="BH292" s="54">
        <f>K292*AO292</f>
        <v>0</v>
      </c>
      <c r="BI292" s="54">
        <f>K292*AP292</f>
        <v>0</v>
      </c>
      <c r="BJ292" s="54">
        <f>K292*L292</f>
        <v>0</v>
      </c>
      <c r="BK292" s="54" t="s">
        <v>1047</v>
      </c>
      <c r="BL292" s="33">
        <v>87</v>
      </c>
    </row>
    <row r="293" spans="1:14" ht="12.75">
      <c r="A293" s="17"/>
      <c r="D293" s="143" t="s">
        <v>685</v>
      </c>
      <c r="E293" s="144"/>
      <c r="F293" s="144"/>
      <c r="G293" s="144"/>
      <c r="H293" s="144"/>
      <c r="I293" s="144"/>
      <c r="K293" s="75">
        <v>1</v>
      </c>
      <c r="M293" s="14"/>
      <c r="N293" s="17"/>
    </row>
    <row r="294" spans="1:14" ht="12.75">
      <c r="A294" s="17"/>
      <c r="D294" s="143" t="s">
        <v>679</v>
      </c>
      <c r="E294" s="144"/>
      <c r="F294" s="144"/>
      <c r="G294" s="144"/>
      <c r="H294" s="144"/>
      <c r="I294" s="144"/>
      <c r="K294" s="75">
        <v>1</v>
      </c>
      <c r="M294" s="14"/>
      <c r="N294" s="17"/>
    </row>
    <row r="295" spans="1:14" ht="12.75">
      <c r="A295" s="17"/>
      <c r="D295" s="143" t="s">
        <v>686</v>
      </c>
      <c r="E295" s="144"/>
      <c r="F295" s="144"/>
      <c r="G295" s="144"/>
      <c r="H295" s="144"/>
      <c r="I295" s="144"/>
      <c r="K295" s="75">
        <v>1</v>
      </c>
      <c r="M295" s="14"/>
      <c r="N295" s="17"/>
    </row>
    <row r="296" spans="1:64" ht="12.75">
      <c r="A296" s="39" t="s">
        <v>132</v>
      </c>
      <c r="B296" s="46" t="s">
        <v>61</v>
      </c>
      <c r="C296" s="46" t="s">
        <v>307</v>
      </c>
      <c r="D296" s="148" t="s">
        <v>662</v>
      </c>
      <c r="E296" s="149"/>
      <c r="F296" s="149"/>
      <c r="G296" s="149"/>
      <c r="H296" s="149"/>
      <c r="I296" s="149"/>
      <c r="J296" s="46" t="s">
        <v>975</v>
      </c>
      <c r="K296" s="78">
        <v>1</v>
      </c>
      <c r="L296" s="54">
        <v>0</v>
      </c>
      <c r="M296" s="66">
        <f>K296*L296</f>
        <v>0</v>
      </c>
      <c r="N296" s="17"/>
      <c r="Z296" s="33">
        <f>IF(AQ296="5",BJ296,0)</f>
        <v>0</v>
      </c>
      <c r="AB296" s="33">
        <f>IF(AQ296="1",BH296,0)</f>
        <v>0</v>
      </c>
      <c r="AC296" s="33">
        <f>IF(AQ296="1",BI296,0)</f>
        <v>0</v>
      </c>
      <c r="AD296" s="33">
        <f>IF(AQ296="7",BH296,0)</f>
        <v>0</v>
      </c>
      <c r="AE296" s="33">
        <f>IF(AQ296="7",BI296,0)</f>
        <v>0</v>
      </c>
      <c r="AF296" s="33">
        <f>IF(AQ296="2",BH296,0)</f>
        <v>0</v>
      </c>
      <c r="AG296" s="33">
        <f>IF(AQ296="2",BI296,0)</f>
        <v>0</v>
      </c>
      <c r="AH296" s="33">
        <f>IF(AQ296="0",BJ296,0)</f>
        <v>0</v>
      </c>
      <c r="AI296" s="58" t="s">
        <v>61</v>
      </c>
      <c r="AJ296" s="54">
        <f>IF(AN296=0,M296,0)</f>
        <v>0</v>
      </c>
      <c r="AK296" s="54">
        <f>IF(AN296=15,M296,0)</f>
        <v>0</v>
      </c>
      <c r="AL296" s="54">
        <f>IF(AN296=21,M296,0)</f>
        <v>0</v>
      </c>
      <c r="AN296" s="33">
        <v>21</v>
      </c>
      <c r="AO296" s="33">
        <f>L296*1</f>
        <v>0</v>
      </c>
      <c r="AP296" s="33">
        <f>L296*(1-1)</f>
        <v>0</v>
      </c>
      <c r="AQ296" s="60" t="s">
        <v>80</v>
      </c>
      <c r="AV296" s="33">
        <f>AW296+AX296</f>
        <v>0</v>
      </c>
      <c r="AW296" s="33">
        <f>K296*AO296</f>
        <v>0</v>
      </c>
      <c r="AX296" s="33">
        <f>K296*AP296</f>
        <v>0</v>
      </c>
      <c r="AY296" s="61" t="s">
        <v>1003</v>
      </c>
      <c r="AZ296" s="61" t="s">
        <v>1025</v>
      </c>
      <c r="BA296" s="58" t="s">
        <v>1037</v>
      </c>
      <c r="BC296" s="33">
        <f>AW296+AX296</f>
        <v>0</v>
      </c>
      <c r="BD296" s="33">
        <f>L296/(100-BE296)*100</f>
        <v>0</v>
      </c>
      <c r="BE296" s="33">
        <v>0</v>
      </c>
      <c r="BF296" s="33">
        <f>296</f>
        <v>296</v>
      </c>
      <c r="BH296" s="54">
        <f>K296*AO296</f>
        <v>0</v>
      </c>
      <c r="BI296" s="54">
        <f>K296*AP296</f>
        <v>0</v>
      </c>
      <c r="BJ296" s="54">
        <f>K296*L296</f>
        <v>0</v>
      </c>
      <c r="BK296" s="54" t="s">
        <v>1047</v>
      </c>
      <c r="BL296" s="33">
        <v>87</v>
      </c>
    </row>
    <row r="297" spans="1:14" ht="12.75">
      <c r="A297" s="17"/>
      <c r="D297" s="143" t="s">
        <v>686</v>
      </c>
      <c r="E297" s="144"/>
      <c r="F297" s="144"/>
      <c r="G297" s="144"/>
      <c r="H297" s="144"/>
      <c r="I297" s="144"/>
      <c r="K297" s="75">
        <v>1</v>
      </c>
      <c r="M297" s="14"/>
      <c r="N297" s="17"/>
    </row>
    <row r="298" spans="1:64" ht="12.75">
      <c r="A298" s="39" t="s">
        <v>133</v>
      </c>
      <c r="B298" s="46" t="s">
        <v>61</v>
      </c>
      <c r="C298" s="46" t="s">
        <v>318</v>
      </c>
      <c r="D298" s="148" t="s">
        <v>687</v>
      </c>
      <c r="E298" s="149"/>
      <c r="F298" s="149"/>
      <c r="G298" s="149"/>
      <c r="H298" s="149"/>
      <c r="I298" s="149"/>
      <c r="J298" s="46" t="s">
        <v>975</v>
      </c>
      <c r="K298" s="78">
        <v>18</v>
      </c>
      <c r="L298" s="54">
        <v>0</v>
      </c>
      <c r="M298" s="66">
        <f>K298*L298</f>
        <v>0</v>
      </c>
      <c r="N298" s="17"/>
      <c r="Z298" s="33">
        <f>IF(AQ298="5",BJ298,0)</f>
        <v>0</v>
      </c>
      <c r="AB298" s="33">
        <f>IF(AQ298="1",BH298,0)</f>
        <v>0</v>
      </c>
      <c r="AC298" s="33">
        <f>IF(AQ298="1",BI298,0)</f>
        <v>0</v>
      </c>
      <c r="AD298" s="33">
        <f>IF(AQ298="7",BH298,0)</f>
        <v>0</v>
      </c>
      <c r="AE298" s="33">
        <f>IF(AQ298="7",BI298,0)</f>
        <v>0</v>
      </c>
      <c r="AF298" s="33">
        <f>IF(AQ298="2",BH298,0)</f>
        <v>0</v>
      </c>
      <c r="AG298" s="33">
        <f>IF(AQ298="2",BI298,0)</f>
        <v>0</v>
      </c>
      <c r="AH298" s="33">
        <f>IF(AQ298="0",BJ298,0)</f>
        <v>0</v>
      </c>
      <c r="AI298" s="58" t="s">
        <v>61</v>
      </c>
      <c r="AJ298" s="54">
        <f>IF(AN298=0,M298,0)</f>
        <v>0</v>
      </c>
      <c r="AK298" s="54">
        <f>IF(AN298=15,M298,0)</f>
        <v>0</v>
      </c>
      <c r="AL298" s="54">
        <f>IF(AN298=21,M298,0)</f>
        <v>0</v>
      </c>
      <c r="AN298" s="33">
        <v>21</v>
      </c>
      <c r="AO298" s="33">
        <f>L298*1</f>
        <v>0</v>
      </c>
      <c r="AP298" s="33">
        <f>L298*(1-1)</f>
        <v>0</v>
      </c>
      <c r="AQ298" s="60" t="s">
        <v>80</v>
      </c>
      <c r="AV298" s="33">
        <f>AW298+AX298</f>
        <v>0</v>
      </c>
      <c r="AW298" s="33">
        <f>K298*AO298</f>
        <v>0</v>
      </c>
      <c r="AX298" s="33">
        <f>K298*AP298</f>
        <v>0</v>
      </c>
      <c r="AY298" s="61" t="s">
        <v>1003</v>
      </c>
      <c r="AZ298" s="61" t="s">
        <v>1025</v>
      </c>
      <c r="BA298" s="58" t="s">
        <v>1037</v>
      </c>
      <c r="BC298" s="33">
        <f>AW298+AX298</f>
        <v>0</v>
      </c>
      <c r="BD298" s="33">
        <f>L298/(100-BE298)*100</f>
        <v>0</v>
      </c>
      <c r="BE298" s="33">
        <v>0</v>
      </c>
      <c r="BF298" s="33">
        <f>298</f>
        <v>298</v>
      </c>
      <c r="BH298" s="54">
        <f>K298*AO298</f>
        <v>0</v>
      </c>
      <c r="BI298" s="54">
        <f>K298*AP298</f>
        <v>0</v>
      </c>
      <c r="BJ298" s="54">
        <f>K298*L298</f>
        <v>0</v>
      </c>
      <c r="BK298" s="54" t="s">
        <v>1047</v>
      </c>
      <c r="BL298" s="33">
        <v>87</v>
      </c>
    </row>
    <row r="299" spans="1:14" ht="12.75">
      <c r="A299" s="17"/>
      <c r="D299" s="143" t="s">
        <v>688</v>
      </c>
      <c r="E299" s="144"/>
      <c r="F299" s="144"/>
      <c r="G299" s="144"/>
      <c r="H299" s="144"/>
      <c r="I299" s="144"/>
      <c r="K299" s="75">
        <v>4</v>
      </c>
      <c r="M299" s="14"/>
      <c r="N299" s="17"/>
    </row>
    <row r="300" spans="1:14" ht="12.75">
      <c r="A300" s="17"/>
      <c r="D300" s="143" t="s">
        <v>689</v>
      </c>
      <c r="E300" s="144"/>
      <c r="F300" s="144"/>
      <c r="G300" s="144"/>
      <c r="H300" s="144"/>
      <c r="I300" s="144"/>
      <c r="K300" s="75">
        <v>3</v>
      </c>
      <c r="M300" s="14"/>
      <c r="N300" s="17"/>
    </row>
    <row r="301" spans="1:14" ht="12.75">
      <c r="A301" s="17"/>
      <c r="D301" s="143" t="s">
        <v>690</v>
      </c>
      <c r="E301" s="144"/>
      <c r="F301" s="144"/>
      <c r="G301" s="144"/>
      <c r="H301" s="144"/>
      <c r="I301" s="144"/>
      <c r="K301" s="75">
        <v>3</v>
      </c>
      <c r="M301" s="14"/>
      <c r="N301" s="17"/>
    </row>
    <row r="302" spans="1:14" ht="12.75">
      <c r="A302" s="17"/>
      <c r="D302" s="143" t="s">
        <v>691</v>
      </c>
      <c r="E302" s="144"/>
      <c r="F302" s="144"/>
      <c r="G302" s="144"/>
      <c r="H302" s="144"/>
      <c r="I302" s="144"/>
      <c r="K302" s="75">
        <v>8</v>
      </c>
      <c r="M302" s="14"/>
      <c r="N302" s="17"/>
    </row>
    <row r="303" spans="1:64" ht="12.75">
      <c r="A303" s="39" t="s">
        <v>134</v>
      </c>
      <c r="B303" s="46" t="s">
        <v>61</v>
      </c>
      <c r="C303" s="46" t="s">
        <v>319</v>
      </c>
      <c r="D303" s="148" t="s">
        <v>692</v>
      </c>
      <c r="E303" s="149"/>
      <c r="F303" s="149"/>
      <c r="G303" s="149"/>
      <c r="H303" s="149"/>
      <c r="I303" s="149"/>
      <c r="J303" s="46" t="s">
        <v>975</v>
      </c>
      <c r="K303" s="78">
        <v>1</v>
      </c>
      <c r="L303" s="54">
        <v>0</v>
      </c>
      <c r="M303" s="66">
        <f>K303*L303</f>
        <v>0</v>
      </c>
      <c r="N303" s="17"/>
      <c r="Z303" s="33">
        <f>IF(AQ303="5",BJ303,0)</f>
        <v>0</v>
      </c>
      <c r="AB303" s="33">
        <f>IF(AQ303="1",BH303,0)</f>
        <v>0</v>
      </c>
      <c r="AC303" s="33">
        <f>IF(AQ303="1",BI303,0)</f>
        <v>0</v>
      </c>
      <c r="AD303" s="33">
        <f>IF(AQ303="7",BH303,0)</f>
        <v>0</v>
      </c>
      <c r="AE303" s="33">
        <f>IF(AQ303="7",BI303,0)</f>
        <v>0</v>
      </c>
      <c r="AF303" s="33">
        <f>IF(AQ303="2",BH303,0)</f>
        <v>0</v>
      </c>
      <c r="AG303" s="33">
        <f>IF(AQ303="2",BI303,0)</f>
        <v>0</v>
      </c>
      <c r="AH303" s="33">
        <f>IF(AQ303="0",BJ303,0)</f>
        <v>0</v>
      </c>
      <c r="AI303" s="58" t="s">
        <v>61</v>
      </c>
      <c r="AJ303" s="54">
        <f>IF(AN303=0,M303,0)</f>
        <v>0</v>
      </c>
      <c r="AK303" s="54">
        <f>IF(AN303=15,M303,0)</f>
        <v>0</v>
      </c>
      <c r="AL303" s="54">
        <f>IF(AN303=21,M303,0)</f>
        <v>0</v>
      </c>
      <c r="AN303" s="33">
        <v>21</v>
      </c>
      <c r="AO303" s="33">
        <f>L303*1</f>
        <v>0</v>
      </c>
      <c r="AP303" s="33">
        <f>L303*(1-1)</f>
        <v>0</v>
      </c>
      <c r="AQ303" s="60" t="s">
        <v>80</v>
      </c>
      <c r="AV303" s="33">
        <f>AW303+AX303</f>
        <v>0</v>
      </c>
      <c r="AW303" s="33">
        <f>K303*AO303</f>
        <v>0</v>
      </c>
      <c r="AX303" s="33">
        <f>K303*AP303</f>
        <v>0</v>
      </c>
      <c r="AY303" s="61" t="s">
        <v>1003</v>
      </c>
      <c r="AZ303" s="61" t="s">
        <v>1025</v>
      </c>
      <c r="BA303" s="58" t="s">
        <v>1037</v>
      </c>
      <c r="BC303" s="33">
        <f>AW303+AX303</f>
        <v>0</v>
      </c>
      <c r="BD303" s="33">
        <f>L303/(100-BE303)*100</f>
        <v>0</v>
      </c>
      <c r="BE303" s="33">
        <v>0</v>
      </c>
      <c r="BF303" s="33">
        <f>303</f>
        <v>303</v>
      </c>
      <c r="BH303" s="54">
        <f>K303*AO303</f>
        <v>0</v>
      </c>
      <c r="BI303" s="54">
        <f>K303*AP303</f>
        <v>0</v>
      </c>
      <c r="BJ303" s="54">
        <f>K303*L303</f>
        <v>0</v>
      </c>
      <c r="BK303" s="54" t="s">
        <v>1047</v>
      </c>
      <c r="BL303" s="33">
        <v>87</v>
      </c>
    </row>
    <row r="304" spans="1:14" ht="12.75">
      <c r="A304" s="17"/>
      <c r="D304" s="143" t="s">
        <v>679</v>
      </c>
      <c r="E304" s="144"/>
      <c r="F304" s="144"/>
      <c r="G304" s="144"/>
      <c r="H304" s="144"/>
      <c r="I304" s="144"/>
      <c r="K304" s="75">
        <v>1</v>
      </c>
      <c r="M304" s="14"/>
      <c r="N304" s="17"/>
    </row>
    <row r="305" spans="1:64" ht="12.75">
      <c r="A305" s="39" t="s">
        <v>135</v>
      </c>
      <c r="B305" s="46" t="s">
        <v>61</v>
      </c>
      <c r="C305" s="46" t="s">
        <v>320</v>
      </c>
      <c r="D305" s="148" t="s">
        <v>693</v>
      </c>
      <c r="E305" s="149"/>
      <c r="F305" s="149"/>
      <c r="G305" s="149"/>
      <c r="H305" s="149"/>
      <c r="I305" s="149"/>
      <c r="J305" s="46" t="s">
        <v>975</v>
      </c>
      <c r="K305" s="78">
        <v>4</v>
      </c>
      <c r="L305" s="54">
        <v>0</v>
      </c>
      <c r="M305" s="66">
        <f>K305*L305</f>
        <v>0</v>
      </c>
      <c r="N305" s="17"/>
      <c r="Z305" s="33">
        <f>IF(AQ305="5",BJ305,0)</f>
        <v>0</v>
      </c>
      <c r="AB305" s="33">
        <f>IF(AQ305="1",BH305,0)</f>
        <v>0</v>
      </c>
      <c r="AC305" s="33">
        <f>IF(AQ305="1",BI305,0)</f>
        <v>0</v>
      </c>
      <c r="AD305" s="33">
        <f>IF(AQ305="7",BH305,0)</f>
        <v>0</v>
      </c>
      <c r="AE305" s="33">
        <f>IF(AQ305="7",BI305,0)</f>
        <v>0</v>
      </c>
      <c r="AF305" s="33">
        <f>IF(AQ305="2",BH305,0)</f>
        <v>0</v>
      </c>
      <c r="AG305" s="33">
        <f>IF(AQ305="2",BI305,0)</f>
        <v>0</v>
      </c>
      <c r="AH305" s="33">
        <f>IF(AQ305="0",BJ305,0)</f>
        <v>0</v>
      </c>
      <c r="AI305" s="58" t="s">
        <v>61</v>
      </c>
      <c r="AJ305" s="54">
        <f>IF(AN305=0,M305,0)</f>
        <v>0</v>
      </c>
      <c r="AK305" s="54">
        <f>IF(AN305=15,M305,0)</f>
        <v>0</v>
      </c>
      <c r="AL305" s="54">
        <f>IF(AN305=21,M305,0)</f>
        <v>0</v>
      </c>
      <c r="AN305" s="33">
        <v>21</v>
      </c>
      <c r="AO305" s="33">
        <f>L305*1</f>
        <v>0</v>
      </c>
      <c r="AP305" s="33">
        <f>L305*(1-1)</f>
        <v>0</v>
      </c>
      <c r="AQ305" s="60" t="s">
        <v>80</v>
      </c>
      <c r="AV305" s="33">
        <f>AW305+AX305</f>
        <v>0</v>
      </c>
      <c r="AW305" s="33">
        <f>K305*AO305</f>
        <v>0</v>
      </c>
      <c r="AX305" s="33">
        <f>K305*AP305</f>
        <v>0</v>
      </c>
      <c r="AY305" s="61" t="s">
        <v>1003</v>
      </c>
      <c r="AZ305" s="61" t="s">
        <v>1025</v>
      </c>
      <c r="BA305" s="58" t="s">
        <v>1037</v>
      </c>
      <c r="BC305" s="33">
        <f>AW305+AX305</f>
        <v>0</v>
      </c>
      <c r="BD305" s="33">
        <f>L305/(100-BE305)*100</f>
        <v>0</v>
      </c>
      <c r="BE305" s="33">
        <v>0</v>
      </c>
      <c r="BF305" s="33">
        <f>305</f>
        <v>305</v>
      </c>
      <c r="BH305" s="54">
        <f>K305*AO305</f>
        <v>0</v>
      </c>
      <c r="BI305" s="54">
        <f>K305*AP305</f>
        <v>0</v>
      </c>
      <c r="BJ305" s="54">
        <f>K305*L305</f>
        <v>0</v>
      </c>
      <c r="BK305" s="54" t="s">
        <v>1047</v>
      </c>
      <c r="BL305" s="33">
        <v>87</v>
      </c>
    </row>
    <row r="306" spans="1:14" ht="12.75">
      <c r="A306" s="17"/>
      <c r="D306" s="143" t="s">
        <v>434</v>
      </c>
      <c r="E306" s="144"/>
      <c r="F306" s="144"/>
      <c r="G306" s="144"/>
      <c r="H306" s="144"/>
      <c r="I306" s="144"/>
      <c r="K306" s="75">
        <v>2</v>
      </c>
      <c r="M306" s="14"/>
      <c r="N306" s="17"/>
    </row>
    <row r="307" spans="1:14" ht="12.75">
      <c r="A307" s="17"/>
      <c r="D307" s="143" t="s">
        <v>437</v>
      </c>
      <c r="E307" s="144"/>
      <c r="F307" s="144"/>
      <c r="G307" s="144"/>
      <c r="H307" s="144"/>
      <c r="I307" s="144"/>
      <c r="K307" s="75">
        <v>2</v>
      </c>
      <c r="M307" s="14"/>
      <c r="N307" s="17"/>
    </row>
    <row r="308" spans="1:64" ht="12.75">
      <c r="A308" s="39" t="s">
        <v>136</v>
      </c>
      <c r="B308" s="46" t="s">
        <v>61</v>
      </c>
      <c r="C308" s="46" t="s">
        <v>321</v>
      </c>
      <c r="D308" s="148" t="s">
        <v>694</v>
      </c>
      <c r="E308" s="149"/>
      <c r="F308" s="149"/>
      <c r="G308" s="149"/>
      <c r="H308" s="149"/>
      <c r="I308" s="149"/>
      <c r="J308" s="46" t="s">
        <v>975</v>
      </c>
      <c r="K308" s="78">
        <v>1</v>
      </c>
      <c r="L308" s="54">
        <v>0</v>
      </c>
      <c r="M308" s="66">
        <f>K308*L308</f>
        <v>0</v>
      </c>
      <c r="N308" s="17"/>
      <c r="Z308" s="33">
        <f>IF(AQ308="5",BJ308,0)</f>
        <v>0</v>
      </c>
      <c r="AB308" s="33">
        <f>IF(AQ308="1",BH308,0)</f>
        <v>0</v>
      </c>
      <c r="AC308" s="33">
        <f>IF(AQ308="1",BI308,0)</f>
        <v>0</v>
      </c>
      <c r="AD308" s="33">
        <f>IF(AQ308="7",BH308,0)</f>
        <v>0</v>
      </c>
      <c r="AE308" s="33">
        <f>IF(AQ308="7",BI308,0)</f>
        <v>0</v>
      </c>
      <c r="AF308" s="33">
        <f>IF(AQ308="2",BH308,0)</f>
        <v>0</v>
      </c>
      <c r="AG308" s="33">
        <f>IF(AQ308="2",BI308,0)</f>
        <v>0</v>
      </c>
      <c r="AH308" s="33">
        <f>IF(AQ308="0",BJ308,0)</f>
        <v>0</v>
      </c>
      <c r="AI308" s="58" t="s">
        <v>61</v>
      </c>
      <c r="AJ308" s="54">
        <f>IF(AN308=0,M308,0)</f>
        <v>0</v>
      </c>
      <c r="AK308" s="54">
        <f>IF(AN308=15,M308,0)</f>
        <v>0</v>
      </c>
      <c r="AL308" s="54">
        <f>IF(AN308=21,M308,0)</f>
        <v>0</v>
      </c>
      <c r="AN308" s="33">
        <v>21</v>
      </c>
      <c r="AO308" s="33">
        <f>L308*1</f>
        <v>0</v>
      </c>
      <c r="AP308" s="33">
        <f>L308*(1-1)</f>
        <v>0</v>
      </c>
      <c r="AQ308" s="60" t="s">
        <v>80</v>
      </c>
      <c r="AV308" s="33">
        <f>AW308+AX308</f>
        <v>0</v>
      </c>
      <c r="AW308" s="33">
        <f>K308*AO308</f>
        <v>0</v>
      </c>
      <c r="AX308" s="33">
        <f>K308*AP308</f>
        <v>0</v>
      </c>
      <c r="AY308" s="61" t="s">
        <v>1003</v>
      </c>
      <c r="AZ308" s="61" t="s">
        <v>1025</v>
      </c>
      <c r="BA308" s="58" t="s">
        <v>1037</v>
      </c>
      <c r="BC308" s="33">
        <f>AW308+AX308</f>
        <v>0</v>
      </c>
      <c r="BD308" s="33">
        <f>L308/(100-BE308)*100</f>
        <v>0</v>
      </c>
      <c r="BE308" s="33">
        <v>0</v>
      </c>
      <c r="BF308" s="33">
        <f>308</f>
        <v>308</v>
      </c>
      <c r="BH308" s="54">
        <f>K308*AO308</f>
        <v>0</v>
      </c>
      <c r="BI308" s="54">
        <f>K308*AP308</f>
        <v>0</v>
      </c>
      <c r="BJ308" s="54">
        <f>K308*L308</f>
        <v>0</v>
      </c>
      <c r="BK308" s="54" t="s">
        <v>1047</v>
      </c>
      <c r="BL308" s="33">
        <v>87</v>
      </c>
    </row>
    <row r="309" spans="1:14" ht="12.75">
      <c r="A309" s="17"/>
      <c r="D309" s="143" t="s">
        <v>695</v>
      </c>
      <c r="E309" s="144"/>
      <c r="F309" s="144"/>
      <c r="G309" s="144"/>
      <c r="H309" s="144"/>
      <c r="I309" s="144"/>
      <c r="K309" s="75">
        <v>1</v>
      </c>
      <c r="M309" s="14"/>
      <c r="N309" s="17"/>
    </row>
    <row r="310" spans="1:64" ht="12.75">
      <c r="A310" s="38" t="s">
        <v>137</v>
      </c>
      <c r="B310" s="45" t="s">
        <v>61</v>
      </c>
      <c r="C310" s="45" t="s">
        <v>322</v>
      </c>
      <c r="D310" s="141" t="s">
        <v>696</v>
      </c>
      <c r="E310" s="142"/>
      <c r="F310" s="142"/>
      <c r="G310" s="142"/>
      <c r="H310" s="142"/>
      <c r="I310" s="142"/>
      <c r="J310" s="45" t="s">
        <v>975</v>
      </c>
      <c r="K310" s="74">
        <v>12</v>
      </c>
      <c r="L310" s="53">
        <v>0</v>
      </c>
      <c r="M310" s="65">
        <f>K310*L310</f>
        <v>0</v>
      </c>
      <c r="N310" s="17"/>
      <c r="Z310" s="33">
        <f>IF(AQ310="5",BJ310,0)</f>
        <v>0</v>
      </c>
      <c r="AB310" s="33">
        <f>IF(AQ310="1",BH310,0)</f>
        <v>0</v>
      </c>
      <c r="AC310" s="33">
        <f>IF(AQ310="1",BI310,0)</f>
        <v>0</v>
      </c>
      <c r="AD310" s="33">
        <f>IF(AQ310="7",BH310,0)</f>
        <v>0</v>
      </c>
      <c r="AE310" s="33">
        <f>IF(AQ310="7",BI310,0)</f>
        <v>0</v>
      </c>
      <c r="AF310" s="33">
        <f>IF(AQ310="2",BH310,0)</f>
        <v>0</v>
      </c>
      <c r="AG310" s="33">
        <f>IF(AQ310="2",BI310,0)</f>
        <v>0</v>
      </c>
      <c r="AH310" s="33">
        <f>IF(AQ310="0",BJ310,0)</f>
        <v>0</v>
      </c>
      <c r="AI310" s="58" t="s">
        <v>61</v>
      </c>
      <c r="AJ310" s="53">
        <f>IF(AN310=0,M310,0)</f>
        <v>0</v>
      </c>
      <c r="AK310" s="53">
        <f>IF(AN310=15,M310,0)</f>
        <v>0</v>
      </c>
      <c r="AL310" s="53">
        <f>IF(AN310=21,M310,0)</f>
        <v>0</v>
      </c>
      <c r="AN310" s="33">
        <v>21</v>
      </c>
      <c r="AO310" s="33">
        <f>L310*0.00563829787234043</f>
        <v>0</v>
      </c>
      <c r="AP310" s="33">
        <f>L310*(1-0.00563829787234043)</f>
        <v>0</v>
      </c>
      <c r="AQ310" s="59" t="s">
        <v>80</v>
      </c>
      <c r="AV310" s="33">
        <f>AW310+AX310</f>
        <v>0</v>
      </c>
      <c r="AW310" s="33">
        <f>K310*AO310</f>
        <v>0</v>
      </c>
      <c r="AX310" s="33">
        <f>K310*AP310</f>
        <v>0</v>
      </c>
      <c r="AY310" s="61" t="s">
        <v>1003</v>
      </c>
      <c r="AZ310" s="61" t="s">
        <v>1025</v>
      </c>
      <c r="BA310" s="58" t="s">
        <v>1037</v>
      </c>
      <c r="BC310" s="33">
        <f>AW310+AX310</f>
        <v>0</v>
      </c>
      <c r="BD310" s="33">
        <f>L310/(100-BE310)*100</f>
        <v>0</v>
      </c>
      <c r="BE310" s="33">
        <v>0</v>
      </c>
      <c r="BF310" s="33">
        <f>310</f>
        <v>310</v>
      </c>
      <c r="BH310" s="53">
        <f>K310*AO310</f>
        <v>0</v>
      </c>
      <c r="BI310" s="53">
        <f>K310*AP310</f>
        <v>0</v>
      </c>
      <c r="BJ310" s="53">
        <f>K310*L310</f>
        <v>0</v>
      </c>
      <c r="BK310" s="53" t="s">
        <v>1046</v>
      </c>
      <c r="BL310" s="33">
        <v>87</v>
      </c>
    </row>
    <row r="311" spans="1:14" ht="12.75">
      <c r="A311" s="17"/>
      <c r="D311" s="143" t="s">
        <v>697</v>
      </c>
      <c r="E311" s="144"/>
      <c r="F311" s="144"/>
      <c r="G311" s="144"/>
      <c r="H311" s="144"/>
      <c r="I311" s="144"/>
      <c r="K311" s="75">
        <v>12</v>
      </c>
      <c r="M311" s="14"/>
      <c r="N311" s="17"/>
    </row>
    <row r="312" spans="1:64" ht="12.75">
      <c r="A312" s="39" t="s">
        <v>138</v>
      </c>
      <c r="B312" s="46" t="s">
        <v>61</v>
      </c>
      <c r="C312" s="46" t="s">
        <v>323</v>
      </c>
      <c r="D312" s="148" t="s">
        <v>698</v>
      </c>
      <c r="E312" s="149"/>
      <c r="F312" s="149"/>
      <c r="G312" s="149"/>
      <c r="H312" s="149"/>
      <c r="I312" s="149"/>
      <c r="J312" s="46" t="s">
        <v>975</v>
      </c>
      <c r="K312" s="78">
        <v>1.03</v>
      </c>
      <c r="L312" s="54">
        <v>0</v>
      </c>
      <c r="M312" s="66">
        <f>K312*L312</f>
        <v>0</v>
      </c>
      <c r="N312" s="17"/>
      <c r="Z312" s="33">
        <f>IF(AQ312="5",BJ312,0)</f>
        <v>0</v>
      </c>
      <c r="AB312" s="33">
        <f>IF(AQ312="1",BH312,0)</f>
        <v>0</v>
      </c>
      <c r="AC312" s="33">
        <f>IF(AQ312="1",BI312,0)</f>
        <v>0</v>
      </c>
      <c r="AD312" s="33">
        <f>IF(AQ312="7",BH312,0)</f>
        <v>0</v>
      </c>
      <c r="AE312" s="33">
        <f>IF(AQ312="7",BI312,0)</f>
        <v>0</v>
      </c>
      <c r="AF312" s="33">
        <f>IF(AQ312="2",BH312,0)</f>
        <v>0</v>
      </c>
      <c r="AG312" s="33">
        <f>IF(AQ312="2",BI312,0)</f>
        <v>0</v>
      </c>
      <c r="AH312" s="33">
        <f>IF(AQ312="0",BJ312,0)</f>
        <v>0</v>
      </c>
      <c r="AI312" s="58" t="s">
        <v>61</v>
      </c>
      <c r="AJ312" s="54">
        <f>IF(AN312=0,M312,0)</f>
        <v>0</v>
      </c>
      <c r="AK312" s="54">
        <f>IF(AN312=15,M312,0)</f>
        <v>0</v>
      </c>
      <c r="AL312" s="54">
        <f>IF(AN312=21,M312,0)</f>
        <v>0</v>
      </c>
      <c r="AN312" s="33">
        <v>21</v>
      </c>
      <c r="AO312" s="33">
        <f>L312*1</f>
        <v>0</v>
      </c>
      <c r="AP312" s="33">
        <f>L312*(1-1)</f>
        <v>0</v>
      </c>
      <c r="AQ312" s="60" t="s">
        <v>80</v>
      </c>
      <c r="AV312" s="33">
        <f>AW312+AX312</f>
        <v>0</v>
      </c>
      <c r="AW312" s="33">
        <f>K312*AO312</f>
        <v>0</v>
      </c>
      <c r="AX312" s="33">
        <f>K312*AP312</f>
        <v>0</v>
      </c>
      <c r="AY312" s="61" t="s">
        <v>1003</v>
      </c>
      <c r="AZ312" s="61" t="s">
        <v>1025</v>
      </c>
      <c r="BA312" s="58" t="s">
        <v>1037</v>
      </c>
      <c r="BC312" s="33">
        <f>AW312+AX312</f>
        <v>0</v>
      </c>
      <c r="BD312" s="33">
        <f>L312/(100-BE312)*100</f>
        <v>0</v>
      </c>
      <c r="BE312" s="33">
        <v>0</v>
      </c>
      <c r="BF312" s="33">
        <f>312</f>
        <v>312</v>
      </c>
      <c r="BH312" s="54">
        <f>K312*AO312</f>
        <v>0</v>
      </c>
      <c r="BI312" s="54">
        <f>K312*AP312</f>
        <v>0</v>
      </c>
      <c r="BJ312" s="54">
        <f>K312*L312</f>
        <v>0</v>
      </c>
      <c r="BK312" s="54" t="s">
        <v>1047</v>
      </c>
      <c r="BL312" s="33">
        <v>87</v>
      </c>
    </row>
    <row r="313" spans="1:14" ht="12.75">
      <c r="A313" s="17"/>
      <c r="D313" s="143" t="s">
        <v>695</v>
      </c>
      <c r="E313" s="144"/>
      <c r="F313" s="144"/>
      <c r="G313" s="144"/>
      <c r="H313" s="144"/>
      <c r="I313" s="144"/>
      <c r="K313" s="75">
        <v>1</v>
      </c>
      <c r="M313" s="14"/>
      <c r="N313" s="17"/>
    </row>
    <row r="314" spans="1:14" ht="12.75">
      <c r="A314" s="17"/>
      <c r="D314" s="143" t="s">
        <v>699</v>
      </c>
      <c r="E314" s="144"/>
      <c r="F314" s="144"/>
      <c r="G314" s="144"/>
      <c r="H314" s="144"/>
      <c r="I314" s="144"/>
      <c r="K314" s="75">
        <v>0.03</v>
      </c>
      <c r="M314" s="14"/>
      <c r="N314" s="17"/>
    </row>
    <row r="315" spans="1:64" ht="12.75">
      <c r="A315" s="39" t="s">
        <v>139</v>
      </c>
      <c r="B315" s="46" t="s">
        <v>61</v>
      </c>
      <c r="C315" s="46" t="s">
        <v>324</v>
      </c>
      <c r="D315" s="148" t="s">
        <v>700</v>
      </c>
      <c r="E315" s="149"/>
      <c r="F315" s="149"/>
      <c r="G315" s="149"/>
      <c r="H315" s="149"/>
      <c r="I315" s="149"/>
      <c r="J315" s="46" t="s">
        <v>975</v>
      </c>
      <c r="K315" s="78">
        <v>4.12</v>
      </c>
      <c r="L315" s="54">
        <v>0</v>
      </c>
      <c r="M315" s="66">
        <f>K315*L315</f>
        <v>0</v>
      </c>
      <c r="N315" s="17"/>
      <c r="Z315" s="33">
        <f>IF(AQ315="5",BJ315,0)</f>
        <v>0</v>
      </c>
      <c r="AB315" s="33">
        <f>IF(AQ315="1",BH315,0)</f>
        <v>0</v>
      </c>
      <c r="AC315" s="33">
        <f>IF(AQ315="1",BI315,0)</f>
        <v>0</v>
      </c>
      <c r="AD315" s="33">
        <f>IF(AQ315="7",BH315,0)</f>
        <v>0</v>
      </c>
      <c r="AE315" s="33">
        <f>IF(AQ315="7",BI315,0)</f>
        <v>0</v>
      </c>
      <c r="AF315" s="33">
        <f>IF(AQ315="2",BH315,0)</f>
        <v>0</v>
      </c>
      <c r="AG315" s="33">
        <f>IF(AQ315="2",BI315,0)</f>
        <v>0</v>
      </c>
      <c r="AH315" s="33">
        <f>IF(AQ315="0",BJ315,0)</f>
        <v>0</v>
      </c>
      <c r="AI315" s="58" t="s">
        <v>61</v>
      </c>
      <c r="AJ315" s="54">
        <f>IF(AN315=0,M315,0)</f>
        <v>0</v>
      </c>
      <c r="AK315" s="54">
        <f>IF(AN315=15,M315,0)</f>
        <v>0</v>
      </c>
      <c r="AL315" s="54">
        <f>IF(AN315=21,M315,0)</f>
        <v>0</v>
      </c>
      <c r="AN315" s="33">
        <v>21</v>
      </c>
      <c r="AO315" s="33">
        <f>L315*1</f>
        <v>0</v>
      </c>
      <c r="AP315" s="33">
        <f>L315*(1-1)</f>
        <v>0</v>
      </c>
      <c r="AQ315" s="60" t="s">
        <v>80</v>
      </c>
      <c r="AV315" s="33">
        <f>AW315+AX315</f>
        <v>0</v>
      </c>
      <c r="AW315" s="33">
        <f>K315*AO315</f>
        <v>0</v>
      </c>
      <c r="AX315" s="33">
        <f>K315*AP315</f>
        <v>0</v>
      </c>
      <c r="AY315" s="61" t="s">
        <v>1003</v>
      </c>
      <c r="AZ315" s="61" t="s">
        <v>1025</v>
      </c>
      <c r="BA315" s="58" t="s">
        <v>1037</v>
      </c>
      <c r="BC315" s="33">
        <f>AW315+AX315</f>
        <v>0</v>
      </c>
      <c r="BD315" s="33">
        <f>L315/(100-BE315)*100</f>
        <v>0</v>
      </c>
      <c r="BE315" s="33">
        <v>0</v>
      </c>
      <c r="BF315" s="33">
        <f>315</f>
        <v>315</v>
      </c>
      <c r="BH315" s="54">
        <f>K315*AO315</f>
        <v>0</v>
      </c>
      <c r="BI315" s="54">
        <f>K315*AP315</f>
        <v>0</v>
      </c>
      <c r="BJ315" s="54">
        <f>K315*L315</f>
        <v>0</v>
      </c>
      <c r="BK315" s="54" t="s">
        <v>1047</v>
      </c>
      <c r="BL315" s="33">
        <v>87</v>
      </c>
    </row>
    <row r="316" spans="1:14" ht="12.75">
      <c r="A316" s="17"/>
      <c r="D316" s="143" t="s">
        <v>647</v>
      </c>
      <c r="E316" s="144"/>
      <c r="F316" s="144"/>
      <c r="G316" s="144"/>
      <c r="H316" s="144"/>
      <c r="I316" s="144"/>
      <c r="K316" s="75">
        <v>1</v>
      </c>
      <c r="M316" s="14"/>
      <c r="N316" s="17"/>
    </row>
    <row r="317" spans="1:14" ht="12.75">
      <c r="A317" s="17"/>
      <c r="D317" s="143" t="s">
        <v>679</v>
      </c>
      <c r="E317" s="144"/>
      <c r="F317" s="144"/>
      <c r="G317" s="144"/>
      <c r="H317" s="144"/>
      <c r="I317" s="144"/>
      <c r="K317" s="75">
        <v>1</v>
      </c>
      <c r="M317" s="14"/>
      <c r="N317" s="17"/>
    </row>
    <row r="318" spans="1:14" ht="12.75">
      <c r="A318" s="17"/>
      <c r="D318" s="143" t="s">
        <v>648</v>
      </c>
      <c r="E318" s="144"/>
      <c r="F318" s="144"/>
      <c r="G318" s="144"/>
      <c r="H318" s="144"/>
      <c r="I318" s="144"/>
      <c r="K318" s="75">
        <v>1</v>
      </c>
      <c r="M318" s="14"/>
      <c r="N318" s="17"/>
    </row>
    <row r="319" spans="1:14" ht="12.75">
      <c r="A319" s="17"/>
      <c r="D319" s="143" t="s">
        <v>649</v>
      </c>
      <c r="E319" s="144"/>
      <c r="F319" s="144"/>
      <c r="G319" s="144"/>
      <c r="H319" s="144"/>
      <c r="I319" s="144"/>
      <c r="K319" s="75">
        <v>1</v>
      </c>
      <c r="M319" s="14"/>
      <c r="N319" s="17"/>
    </row>
    <row r="320" spans="1:14" ht="12.75">
      <c r="A320" s="17"/>
      <c r="D320" s="143" t="s">
        <v>701</v>
      </c>
      <c r="E320" s="144"/>
      <c r="F320" s="144"/>
      <c r="G320" s="144"/>
      <c r="H320" s="144"/>
      <c r="I320" s="144"/>
      <c r="K320" s="75">
        <v>0.12</v>
      </c>
      <c r="M320" s="14"/>
      <c r="N320" s="17"/>
    </row>
    <row r="321" spans="1:64" ht="12.75">
      <c r="A321" s="39" t="s">
        <v>140</v>
      </c>
      <c r="B321" s="46" t="s">
        <v>61</v>
      </c>
      <c r="C321" s="46" t="s">
        <v>325</v>
      </c>
      <c r="D321" s="148" t="s">
        <v>702</v>
      </c>
      <c r="E321" s="149"/>
      <c r="F321" s="149"/>
      <c r="G321" s="149"/>
      <c r="H321" s="149"/>
      <c r="I321" s="149"/>
      <c r="J321" s="46" t="s">
        <v>975</v>
      </c>
      <c r="K321" s="78">
        <v>6.18</v>
      </c>
      <c r="L321" s="54">
        <v>0</v>
      </c>
      <c r="M321" s="66">
        <f>K321*L321</f>
        <v>0</v>
      </c>
      <c r="N321" s="17"/>
      <c r="Z321" s="33">
        <f>IF(AQ321="5",BJ321,0)</f>
        <v>0</v>
      </c>
      <c r="AB321" s="33">
        <f>IF(AQ321="1",BH321,0)</f>
        <v>0</v>
      </c>
      <c r="AC321" s="33">
        <f>IF(AQ321="1",BI321,0)</f>
        <v>0</v>
      </c>
      <c r="AD321" s="33">
        <f>IF(AQ321="7",BH321,0)</f>
        <v>0</v>
      </c>
      <c r="AE321" s="33">
        <f>IF(AQ321="7",BI321,0)</f>
        <v>0</v>
      </c>
      <c r="AF321" s="33">
        <f>IF(AQ321="2",BH321,0)</f>
        <v>0</v>
      </c>
      <c r="AG321" s="33">
        <f>IF(AQ321="2",BI321,0)</f>
        <v>0</v>
      </c>
      <c r="AH321" s="33">
        <f>IF(AQ321="0",BJ321,0)</f>
        <v>0</v>
      </c>
      <c r="AI321" s="58" t="s">
        <v>61</v>
      </c>
      <c r="AJ321" s="54">
        <f>IF(AN321=0,M321,0)</f>
        <v>0</v>
      </c>
      <c r="AK321" s="54">
        <f>IF(AN321=15,M321,0)</f>
        <v>0</v>
      </c>
      <c r="AL321" s="54">
        <f>IF(AN321=21,M321,0)</f>
        <v>0</v>
      </c>
      <c r="AN321" s="33">
        <v>21</v>
      </c>
      <c r="AO321" s="33">
        <f>L321*1</f>
        <v>0</v>
      </c>
      <c r="AP321" s="33">
        <f>L321*(1-1)</f>
        <v>0</v>
      </c>
      <c r="AQ321" s="60" t="s">
        <v>80</v>
      </c>
      <c r="AV321" s="33">
        <f>AW321+AX321</f>
        <v>0</v>
      </c>
      <c r="AW321" s="33">
        <f>K321*AO321</f>
        <v>0</v>
      </c>
      <c r="AX321" s="33">
        <f>K321*AP321</f>
        <v>0</v>
      </c>
      <c r="AY321" s="61" t="s">
        <v>1003</v>
      </c>
      <c r="AZ321" s="61" t="s">
        <v>1025</v>
      </c>
      <c r="BA321" s="58" t="s">
        <v>1037</v>
      </c>
      <c r="BC321" s="33">
        <f>AW321+AX321</f>
        <v>0</v>
      </c>
      <c r="BD321" s="33">
        <f>L321/(100-BE321)*100</f>
        <v>0</v>
      </c>
      <c r="BE321" s="33">
        <v>0</v>
      </c>
      <c r="BF321" s="33">
        <f>321</f>
        <v>321</v>
      </c>
      <c r="BH321" s="54">
        <f>K321*AO321</f>
        <v>0</v>
      </c>
      <c r="BI321" s="54">
        <f>K321*AP321</f>
        <v>0</v>
      </c>
      <c r="BJ321" s="54">
        <f>K321*L321</f>
        <v>0</v>
      </c>
      <c r="BK321" s="54" t="s">
        <v>1047</v>
      </c>
      <c r="BL321" s="33">
        <v>87</v>
      </c>
    </row>
    <row r="322" spans="1:14" ht="12.75">
      <c r="A322" s="17"/>
      <c r="D322" s="143" t="s">
        <v>436</v>
      </c>
      <c r="E322" s="144"/>
      <c r="F322" s="144"/>
      <c r="G322" s="144"/>
      <c r="H322" s="144"/>
      <c r="I322" s="144"/>
      <c r="K322" s="75">
        <v>2</v>
      </c>
      <c r="M322" s="14"/>
      <c r="N322" s="17"/>
    </row>
    <row r="323" spans="1:14" ht="12.75">
      <c r="A323" s="17"/>
      <c r="D323" s="143" t="s">
        <v>439</v>
      </c>
      <c r="E323" s="144"/>
      <c r="F323" s="144"/>
      <c r="G323" s="144"/>
      <c r="H323" s="144"/>
      <c r="I323" s="144"/>
      <c r="K323" s="75">
        <v>2</v>
      </c>
      <c r="M323" s="14"/>
      <c r="N323" s="17"/>
    </row>
    <row r="324" spans="1:14" ht="12.75">
      <c r="A324" s="17"/>
      <c r="D324" s="143" t="s">
        <v>703</v>
      </c>
      <c r="E324" s="144"/>
      <c r="F324" s="144"/>
      <c r="G324" s="144"/>
      <c r="H324" s="144"/>
      <c r="I324" s="144"/>
      <c r="K324" s="75">
        <v>2</v>
      </c>
      <c r="M324" s="14"/>
      <c r="N324" s="17"/>
    </row>
    <row r="325" spans="1:14" ht="12.75">
      <c r="A325" s="17"/>
      <c r="D325" s="143" t="s">
        <v>704</v>
      </c>
      <c r="E325" s="144"/>
      <c r="F325" s="144"/>
      <c r="G325" s="144"/>
      <c r="H325" s="144"/>
      <c r="I325" s="144"/>
      <c r="K325" s="75">
        <v>0.18</v>
      </c>
      <c r="M325" s="14"/>
      <c r="N325" s="17"/>
    </row>
    <row r="326" spans="1:64" ht="12.75">
      <c r="A326" s="39" t="s">
        <v>141</v>
      </c>
      <c r="B326" s="46" t="s">
        <v>61</v>
      </c>
      <c r="C326" s="46" t="s">
        <v>324</v>
      </c>
      <c r="D326" s="148" t="s">
        <v>700</v>
      </c>
      <c r="E326" s="149"/>
      <c r="F326" s="149"/>
      <c r="G326" s="149"/>
      <c r="H326" s="149"/>
      <c r="I326" s="149"/>
      <c r="J326" s="46" t="s">
        <v>975</v>
      </c>
      <c r="K326" s="78">
        <v>1.03</v>
      </c>
      <c r="L326" s="54">
        <v>0</v>
      </c>
      <c r="M326" s="66">
        <f>K326*L326</f>
        <v>0</v>
      </c>
      <c r="N326" s="17"/>
      <c r="Z326" s="33">
        <f>IF(AQ326="5",BJ326,0)</f>
        <v>0</v>
      </c>
      <c r="AB326" s="33">
        <f>IF(AQ326="1",BH326,0)</f>
        <v>0</v>
      </c>
      <c r="AC326" s="33">
        <f>IF(AQ326="1",BI326,0)</f>
        <v>0</v>
      </c>
      <c r="AD326" s="33">
        <f>IF(AQ326="7",BH326,0)</f>
        <v>0</v>
      </c>
      <c r="AE326" s="33">
        <f>IF(AQ326="7",BI326,0)</f>
        <v>0</v>
      </c>
      <c r="AF326" s="33">
        <f>IF(AQ326="2",BH326,0)</f>
        <v>0</v>
      </c>
      <c r="AG326" s="33">
        <f>IF(AQ326="2",BI326,0)</f>
        <v>0</v>
      </c>
      <c r="AH326" s="33">
        <f>IF(AQ326="0",BJ326,0)</f>
        <v>0</v>
      </c>
      <c r="AI326" s="58" t="s">
        <v>61</v>
      </c>
      <c r="AJ326" s="54">
        <f>IF(AN326=0,M326,0)</f>
        <v>0</v>
      </c>
      <c r="AK326" s="54">
        <f>IF(AN326=15,M326,0)</f>
        <v>0</v>
      </c>
      <c r="AL326" s="54">
        <f>IF(AN326=21,M326,0)</f>
        <v>0</v>
      </c>
      <c r="AN326" s="33">
        <v>21</v>
      </c>
      <c r="AO326" s="33">
        <f>L326*1</f>
        <v>0</v>
      </c>
      <c r="AP326" s="33">
        <f>L326*(1-1)</f>
        <v>0</v>
      </c>
      <c r="AQ326" s="60" t="s">
        <v>80</v>
      </c>
      <c r="AV326" s="33">
        <f>AW326+AX326</f>
        <v>0</v>
      </c>
      <c r="AW326" s="33">
        <f>K326*AO326</f>
        <v>0</v>
      </c>
      <c r="AX326" s="33">
        <f>K326*AP326</f>
        <v>0</v>
      </c>
      <c r="AY326" s="61" t="s">
        <v>1003</v>
      </c>
      <c r="AZ326" s="61" t="s">
        <v>1025</v>
      </c>
      <c r="BA326" s="58" t="s">
        <v>1037</v>
      </c>
      <c r="BC326" s="33">
        <f>AW326+AX326</f>
        <v>0</v>
      </c>
      <c r="BD326" s="33">
        <f>L326/(100-BE326)*100</f>
        <v>0</v>
      </c>
      <c r="BE326" s="33">
        <v>0</v>
      </c>
      <c r="BF326" s="33">
        <f>326</f>
        <v>326</v>
      </c>
      <c r="BH326" s="54">
        <f>K326*AO326</f>
        <v>0</v>
      </c>
      <c r="BI326" s="54">
        <f>K326*AP326</f>
        <v>0</v>
      </c>
      <c r="BJ326" s="54">
        <f>K326*L326</f>
        <v>0</v>
      </c>
      <c r="BK326" s="54" t="s">
        <v>1047</v>
      </c>
      <c r="BL326" s="33">
        <v>87</v>
      </c>
    </row>
    <row r="327" spans="1:14" ht="12.75">
      <c r="A327" s="17"/>
      <c r="D327" s="143" t="s">
        <v>705</v>
      </c>
      <c r="E327" s="144"/>
      <c r="F327" s="144"/>
      <c r="G327" s="144"/>
      <c r="H327" s="144"/>
      <c r="I327" s="144"/>
      <c r="K327" s="75">
        <v>1</v>
      </c>
      <c r="M327" s="14"/>
      <c r="N327" s="17"/>
    </row>
    <row r="328" spans="1:14" ht="12.75">
      <c r="A328" s="17"/>
      <c r="D328" s="143" t="s">
        <v>699</v>
      </c>
      <c r="E328" s="144"/>
      <c r="F328" s="144"/>
      <c r="G328" s="144"/>
      <c r="H328" s="144"/>
      <c r="I328" s="144"/>
      <c r="K328" s="75">
        <v>0.03</v>
      </c>
      <c r="M328" s="14"/>
      <c r="N328" s="17"/>
    </row>
    <row r="329" spans="1:47" ht="12.75">
      <c r="A329" s="37"/>
      <c r="B329" s="44" t="s">
        <v>61</v>
      </c>
      <c r="C329" s="44" t="s">
        <v>168</v>
      </c>
      <c r="D329" s="139" t="s">
        <v>706</v>
      </c>
      <c r="E329" s="140"/>
      <c r="F329" s="140"/>
      <c r="G329" s="140"/>
      <c r="H329" s="140"/>
      <c r="I329" s="140"/>
      <c r="J329" s="50" t="s">
        <v>59</v>
      </c>
      <c r="K329" s="50" t="s">
        <v>59</v>
      </c>
      <c r="L329" s="50" t="s">
        <v>59</v>
      </c>
      <c r="M329" s="64">
        <f>SUM(M330:M396)</f>
        <v>0</v>
      </c>
      <c r="N329" s="17"/>
      <c r="AI329" s="58" t="s">
        <v>61</v>
      </c>
      <c r="AS329" s="68">
        <f>SUM(AJ330:AJ396)</f>
        <v>0</v>
      </c>
      <c r="AT329" s="68">
        <f>SUM(AK330:AK396)</f>
        <v>0</v>
      </c>
      <c r="AU329" s="68">
        <f>SUM(AL330:AL396)</f>
        <v>0</v>
      </c>
    </row>
    <row r="330" spans="1:64" ht="12.75">
      <c r="A330" s="38" t="s">
        <v>142</v>
      </c>
      <c r="B330" s="45" t="s">
        <v>61</v>
      </c>
      <c r="C330" s="45" t="s">
        <v>326</v>
      </c>
      <c r="D330" s="141" t="s">
        <v>707</v>
      </c>
      <c r="E330" s="142"/>
      <c r="F330" s="142"/>
      <c r="G330" s="142"/>
      <c r="H330" s="142"/>
      <c r="I330" s="142"/>
      <c r="J330" s="45" t="s">
        <v>968</v>
      </c>
      <c r="K330" s="74">
        <v>142.38</v>
      </c>
      <c r="L330" s="53">
        <v>0</v>
      </c>
      <c r="M330" s="65">
        <f>K330*L330</f>
        <v>0</v>
      </c>
      <c r="N330" s="17"/>
      <c r="Z330" s="33">
        <f>IF(AQ330="5",BJ330,0)</f>
        <v>0</v>
      </c>
      <c r="AB330" s="33">
        <f>IF(AQ330="1",BH330,0)</f>
        <v>0</v>
      </c>
      <c r="AC330" s="33">
        <f>IF(AQ330="1",BI330,0)</f>
        <v>0</v>
      </c>
      <c r="AD330" s="33">
        <f>IF(AQ330="7",BH330,0)</f>
        <v>0</v>
      </c>
      <c r="AE330" s="33">
        <f>IF(AQ330="7",BI330,0)</f>
        <v>0</v>
      </c>
      <c r="AF330" s="33">
        <f>IF(AQ330="2",BH330,0)</f>
        <v>0</v>
      </c>
      <c r="AG330" s="33">
        <f>IF(AQ330="2",BI330,0)</f>
        <v>0</v>
      </c>
      <c r="AH330" s="33">
        <f>IF(AQ330="0",BJ330,0)</f>
        <v>0</v>
      </c>
      <c r="AI330" s="58" t="s">
        <v>61</v>
      </c>
      <c r="AJ330" s="53">
        <f>IF(AN330=0,M330,0)</f>
        <v>0</v>
      </c>
      <c r="AK330" s="53">
        <f>IF(AN330=15,M330,0)</f>
        <v>0</v>
      </c>
      <c r="AL330" s="53">
        <f>IF(AN330=21,M330,0)</f>
        <v>0</v>
      </c>
      <c r="AN330" s="33">
        <v>21</v>
      </c>
      <c r="AO330" s="33">
        <f>L330*0</f>
        <v>0</v>
      </c>
      <c r="AP330" s="33">
        <f>L330*(1-0)</f>
        <v>0</v>
      </c>
      <c r="AQ330" s="59" t="s">
        <v>80</v>
      </c>
      <c r="AV330" s="33">
        <f>AW330+AX330</f>
        <v>0</v>
      </c>
      <c r="AW330" s="33">
        <f>K330*AO330</f>
        <v>0</v>
      </c>
      <c r="AX330" s="33">
        <f>K330*AP330</f>
        <v>0</v>
      </c>
      <c r="AY330" s="61" t="s">
        <v>1004</v>
      </c>
      <c r="AZ330" s="61" t="s">
        <v>1025</v>
      </c>
      <c r="BA330" s="58" t="s">
        <v>1037</v>
      </c>
      <c r="BC330" s="33">
        <f>AW330+AX330</f>
        <v>0</v>
      </c>
      <c r="BD330" s="33">
        <f>L330/(100-BE330)*100</f>
        <v>0</v>
      </c>
      <c r="BE330" s="33">
        <v>0</v>
      </c>
      <c r="BF330" s="33">
        <f>330</f>
        <v>330</v>
      </c>
      <c r="BH330" s="53">
        <f>K330*AO330</f>
        <v>0</v>
      </c>
      <c r="BI330" s="53">
        <f>K330*AP330</f>
        <v>0</v>
      </c>
      <c r="BJ330" s="53">
        <f>K330*L330</f>
        <v>0</v>
      </c>
      <c r="BK330" s="53" t="s">
        <v>1046</v>
      </c>
      <c r="BL330" s="33">
        <v>89</v>
      </c>
    </row>
    <row r="331" spans="1:14" ht="12.75">
      <c r="A331" s="17"/>
      <c r="D331" s="143" t="s">
        <v>611</v>
      </c>
      <c r="E331" s="144"/>
      <c r="F331" s="144"/>
      <c r="G331" s="144"/>
      <c r="H331" s="144"/>
      <c r="I331" s="144"/>
      <c r="K331" s="75">
        <v>47.57</v>
      </c>
      <c r="M331" s="14"/>
      <c r="N331" s="17"/>
    </row>
    <row r="332" spans="1:14" ht="12.75">
      <c r="A332" s="17"/>
      <c r="D332" s="143" t="s">
        <v>612</v>
      </c>
      <c r="E332" s="144"/>
      <c r="F332" s="144"/>
      <c r="G332" s="144"/>
      <c r="H332" s="144"/>
      <c r="I332" s="144"/>
      <c r="K332" s="75">
        <v>94.81</v>
      </c>
      <c r="M332" s="14"/>
      <c r="N332" s="17"/>
    </row>
    <row r="333" spans="1:64" ht="12.75">
      <c r="A333" s="38" t="s">
        <v>143</v>
      </c>
      <c r="B333" s="45" t="s">
        <v>61</v>
      </c>
      <c r="C333" s="45" t="s">
        <v>327</v>
      </c>
      <c r="D333" s="141" t="s">
        <v>708</v>
      </c>
      <c r="E333" s="142"/>
      <c r="F333" s="142"/>
      <c r="G333" s="142"/>
      <c r="H333" s="142"/>
      <c r="I333" s="142"/>
      <c r="J333" s="45" t="s">
        <v>968</v>
      </c>
      <c r="K333" s="74">
        <v>29.18</v>
      </c>
      <c r="L333" s="53">
        <v>0</v>
      </c>
      <c r="M333" s="65">
        <f>K333*L333</f>
        <v>0</v>
      </c>
      <c r="N333" s="17"/>
      <c r="Z333" s="33">
        <f>IF(AQ333="5",BJ333,0)</f>
        <v>0</v>
      </c>
      <c r="AB333" s="33">
        <f>IF(AQ333="1",BH333,0)</f>
        <v>0</v>
      </c>
      <c r="AC333" s="33">
        <f>IF(AQ333="1",BI333,0)</f>
        <v>0</v>
      </c>
      <c r="AD333" s="33">
        <f>IF(AQ333="7",BH333,0)</f>
        <v>0</v>
      </c>
      <c r="AE333" s="33">
        <f>IF(AQ333="7",BI333,0)</f>
        <v>0</v>
      </c>
      <c r="AF333" s="33">
        <f>IF(AQ333="2",BH333,0)</f>
        <v>0</v>
      </c>
      <c r="AG333" s="33">
        <f>IF(AQ333="2",BI333,0)</f>
        <v>0</v>
      </c>
      <c r="AH333" s="33">
        <f>IF(AQ333="0",BJ333,0)</f>
        <v>0</v>
      </c>
      <c r="AI333" s="58" t="s">
        <v>61</v>
      </c>
      <c r="AJ333" s="53">
        <f>IF(AN333=0,M333,0)</f>
        <v>0</v>
      </c>
      <c r="AK333" s="53">
        <f>IF(AN333=15,M333,0)</f>
        <v>0</v>
      </c>
      <c r="AL333" s="53">
        <f>IF(AN333=21,M333,0)</f>
        <v>0</v>
      </c>
      <c r="AN333" s="33">
        <v>21</v>
      </c>
      <c r="AO333" s="33">
        <f>L333*0</f>
        <v>0</v>
      </c>
      <c r="AP333" s="33">
        <f>L333*(1-0)</f>
        <v>0</v>
      </c>
      <c r="AQ333" s="59" t="s">
        <v>80</v>
      </c>
      <c r="AV333" s="33">
        <f>AW333+AX333</f>
        <v>0</v>
      </c>
      <c r="AW333" s="33">
        <f>K333*AO333</f>
        <v>0</v>
      </c>
      <c r="AX333" s="33">
        <f>K333*AP333</f>
        <v>0</v>
      </c>
      <c r="AY333" s="61" t="s">
        <v>1004</v>
      </c>
      <c r="AZ333" s="61" t="s">
        <v>1025</v>
      </c>
      <c r="BA333" s="58" t="s">
        <v>1037</v>
      </c>
      <c r="BC333" s="33">
        <f>AW333+AX333</f>
        <v>0</v>
      </c>
      <c r="BD333" s="33">
        <f>L333/(100-BE333)*100</f>
        <v>0</v>
      </c>
      <c r="BE333" s="33">
        <v>0</v>
      </c>
      <c r="BF333" s="33">
        <f>333</f>
        <v>333</v>
      </c>
      <c r="BH333" s="53">
        <f>K333*AO333</f>
        <v>0</v>
      </c>
      <c r="BI333" s="53">
        <f>K333*AP333</f>
        <v>0</v>
      </c>
      <c r="BJ333" s="53">
        <f>K333*L333</f>
        <v>0</v>
      </c>
      <c r="BK333" s="53" t="s">
        <v>1046</v>
      </c>
      <c r="BL333" s="33">
        <v>89</v>
      </c>
    </row>
    <row r="334" spans="1:14" ht="12.75">
      <c r="A334" s="17"/>
      <c r="D334" s="143" t="s">
        <v>613</v>
      </c>
      <c r="E334" s="144"/>
      <c r="F334" s="144"/>
      <c r="G334" s="144"/>
      <c r="H334" s="144"/>
      <c r="I334" s="144"/>
      <c r="K334" s="75">
        <v>22.18</v>
      </c>
      <c r="M334" s="14"/>
      <c r="N334" s="17"/>
    </row>
    <row r="335" spans="1:14" ht="12.75">
      <c r="A335" s="17"/>
      <c r="D335" s="143" t="s">
        <v>614</v>
      </c>
      <c r="E335" s="144"/>
      <c r="F335" s="144"/>
      <c r="G335" s="144"/>
      <c r="H335" s="144"/>
      <c r="I335" s="144"/>
      <c r="K335" s="75">
        <v>7</v>
      </c>
      <c r="M335" s="14"/>
      <c r="N335" s="17"/>
    </row>
    <row r="336" spans="1:64" ht="12.75">
      <c r="A336" s="38" t="s">
        <v>144</v>
      </c>
      <c r="B336" s="45" t="s">
        <v>61</v>
      </c>
      <c r="C336" s="45" t="s">
        <v>328</v>
      </c>
      <c r="D336" s="141" t="s">
        <v>709</v>
      </c>
      <c r="E336" s="142"/>
      <c r="F336" s="142"/>
      <c r="G336" s="142"/>
      <c r="H336" s="142"/>
      <c r="I336" s="142"/>
      <c r="J336" s="45" t="s">
        <v>968</v>
      </c>
      <c r="K336" s="74">
        <v>142.38</v>
      </c>
      <c r="L336" s="53">
        <v>0</v>
      </c>
      <c r="M336" s="65">
        <f>K336*L336</f>
        <v>0</v>
      </c>
      <c r="N336" s="17"/>
      <c r="Z336" s="33">
        <f>IF(AQ336="5",BJ336,0)</f>
        <v>0</v>
      </c>
      <c r="AB336" s="33">
        <f>IF(AQ336="1",BH336,0)</f>
        <v>0</v>
      </c>
      <c r="AC336" s="33">
        <f>IF(AQ336="1",BI336,0)</f>
        <v>0</v>
      </c>
      <c r="AD336" s="33">
        <f>IF(AQ336="7",BH336,0)</f>
        <v>0</v>
      </c>
      <c r="AE336" s="33">
        <f>IF(AQ336="7",BI336,0)</f>
        <v>0</v>
      </c>
      <c r="AF336" s="33">
        <f>IF(AQ336="2",BH336,0)</f>
        <v>0</v>
      </c>
      <c r="AG336" s="33">
        <f>IF(AQ336="2",BI336,0)</f>
        <v>0</v>
      </c>
      <c r="AH336" s="33">
        <f>IF(AQ336="0",BJ336,0)</f>
        <v>0</v>
      </c>
      <c r="AI336" s="58" t="s">
        <v>61</v>
      </c>
      <c r="AJ336" s="53">
        <f>IF(AN336=0,M336,0)</f>
        <v>0</v>
      </c>
      <c r="AK336" s="53">
        <f>IF(AN336=15,M336,0)</f>
        <v>0</v>
      </c>
      <c r="AL336" s="53">
        <f>IF(AN336=21,M336,0)</f>
        <v>0</v>
      </c>
      <c r="AN336" s="33">
        <v>21</v>
      </c>
      <c r="AO336" s="33">
        <f>L336*0</f>
        <v>0</v>
      </c>
      <c r="AP336" s="33">
        <f>L336*(1-0)</f>
        <v>0</v>
      </c>
      <c r="AQ336" s="59" t="s">
        <v>80</v>
      </c>
      <c r="AV336" s="33">
        <f>AW336+AX336</f>
        <v>0</v>
      </c>
      <c r="AW336" s="33">
        <f>K336*AO336</f>
        <v>0</v>
      </c>
      <c r="AX336" s="33">
        <f>K336*AP336</f>
        <v>0</v>
      </c>
      <c r="AY336" s="61" t="s">
        <v>1004</v>
      </c>
      <c r="AZ336" s="61" t="s">
        <v>1025</v>
      </c>
      <c r="BA336" s="58" t="s">
        <v>1037</v>
      </c>
      <c r="BC336" s="33">
        <f>AW336+AX336</f>
        <v>0</v>
      </c>
      <c r="BD336" s="33">
        <f>L336/(100-BE336)*100</f>
        <v>0</v>
      </c>
      <c r="BE336" s="33">
        <v>0</v>
      </c>
      <c r="BF336" s="33">
        <f>336</f>
        <v>336</v>
      </c>
      <c r="BH336" s="53">
        <f>K336*AO336</f>
        <v>0</v>
      </c>
      <c r="BI336" s="53">
        <f>K336*AP336</f>
        <v>0</v>
      </c>
      <c r="BJ336" s="53">
        <f>K336*L336</f>
        <v>0</v>
      </c>
      <c r="BK336" s="53" t="s">
        <v>1046</v>
      </c>
      <c r="BL336" s="33">
        <v>89</v>
      </c>
    </row>
    <row r="337" spans="1:14" ht="12.75">
      <c r="A337" s="17"/>
      <c r="D337" s="143" t="s">
        <v>611</v>
      </c>
      <c r="E337" s="144"/>
      <c r="F337" s="144"/>
      <c r="G337" s="144"/>
      <c r="H337" s="144"/>
      <c r="I337" s="144"/>
      <c r="K337" s="75">
        <v>47.57</v>
      </c>
      <c r="M337" s="14"/>
      <c r="N337" s="17"/>
    </row>
    <row r="338" spans="1:14" ht="12.75">
      <c r="A338" s="17"/>
      <c r="D338" s="143" t="s">
        <v>612</v>
      </c>
      <c r="E338" s="144"/>
      <c r="F338" s="144"/>
      <c r="G338" s="144"/>
      <c r="H338" s="144"/>
      <c r="I338" s="144"/>
      <c r="K338" s="75">
        <v>94.81</v>
      </c>
      <c r="M338" s="14"/>
      <c r="N338" s="17"/>
    </row>
    <row r="339" spans="1:64" ht="12.75">
      <c r="A339" s="38" t="s">
        <v>145</v>
      </c>
      <c r="B339" s="45" t="s">
        <v>61</v>
      </c>
      <c r="C339" s="45" t="s">
        <v>329</v>
      </c>
      <c r="D339" s="141" t="s">
        <v>710</v>
      </c>
      <c r="E339" s="142"/>
      <c r="F339" s="142"/>
      <c r="G339" s="142"/>
      <c r="H339" s="142"/>
      <c r="I339" s="142"/>
      <c r="J339" s="45" t="s">
        <v>968</v>
      </c>
      <c r="K339" s="74">
        <v>29.18</v>
      </c>
      <c r="L339" s="53">
        <v>0</v>
      </c>
      <c r="M339" s="65">
        <f>K339*L339</f>
        <v>0</v>
      </c>
      <c r="N339" s="17"/>
      <c r="Z339" s="33">
        <f>IF(AQ339="5",BJ339,0)</f>
        <v>0</v>
      </c>
      <c r="AB339" s="33">
        <f>IF(AQ339="1",BH339,0)</f>
        <v>0</v>
      </c>
      <c r="AC339" s="33">
        <f>IF(AQ339="1",BI339,0)</f>
        <v>0</v>
      </c>
      <c r="AD339" s="33">
        <f>IF(AQ339="7",BH339,0)</f>
        <v>0</v>
      </c>
      <c r="AE339" s="33">
        <f>IF(AQ339="7",BI339,0)</f>
        <v>0</v>
      </c>
      <c r="AF339" s="33">
        <f>IF(AQ339="2",BH339,0)</f>
        <v>0</v>
      </c>
      <c r="AG339" s="33">
        <f>IF(AQ339="2",BI339,0)</f>
        <v>0</v>
      </c>
      <c r="AH339" s="33">
        <f>IF(AQ339="0",BJ339,0)</f>
        <v>0</v>
      </c>
      <c r="AI339" s="58" t="s">
        <v>61</v>
      </c>
      <c r="AJ339" s="53">
        <f>IF(AN339=0,M339,0)</f>
        <v>0</v>
      </c>
      <c r="AK339" s="53">
        <f>IF(AN339=15,M339,0)</f>
        <v>0</v>
      </c>
      <c r="AL339" s="53">
        <f>IF(AN339=21,M339,0)</f>
        <v>0</v>
      </c>
      <c r="AN339" s="33">
        <v>21</v>
      </c>
      <c r="AO339" s="33">
        <f>L339*0</f>
        <v>0</v>
      </c>
      <c r="AP339" s="33">
        <f>L339*(1-0)</f>
        <v>0</v>
      </c>
      <c r="AQ339" s="59" t="s">
        <v>80</v>
      </c>
      <c r="AV339" s="33">
        <f>AW339+AX339</f>
        <v>0</v>
      </c>
      <c r="AW339" s="33">
        <f>K339*AO339</f>
        <v>0</v>
      </c>
      <c r="AX339" s="33">
        <f>K339*AP339</f>
        <v>0</v>
      </c>
      <c r="AY339" s="61" t="s">
        <v>1004</v>
      </c>
      <c r="AZ339" s="61" t="s">
        <v>1025</v>
      </c>
      <c r="BA339" s="58" t="s">
        <v>1037</v>
      </c>
      <c r="BC339" s="33">
        <f>AW339+AX339</f>
        <v>0</v>
      </c>
      <c r="BD339" s="33">
        <f>L339/(100-BE339)*100</f>
        <v>0</v>
      </c>
      <c r="BE339" s="33">
        <v>0</v>
      </c>
      <c r="BF339" s="33">
        <f>339</f>
        <v>339</v>
      </c>
      <c r="BH339" s="53">
        <f>K339*AO339</f>
        <v>0</v>
      </c>
      <c r="BI339" s="53">
        <f>K339*AP339</f>
        <v>0</v>
      </c>
      <c r="BJ339" s="53">
        <f>K339*L339</f>
        <v>0</v>
      </c>
      <c r="BK339" s="53" t="s">
        <v>1046</v>
      </c>
      <c r="BL339" s="33">
        <v>89</v>
      </c>
    </row>
    <row r="340" spans="1:14" ht="12.75">
      <c r="A340" s="17"/>
      <c r="D340" s="143" t="s">
        <v>613</v>
      </c>
      <c r="E340" s="144"/>
      <c r="F340" s="144"/>
      <c r="G340" s="144"/>
      <c r="H340" s="144"/>
      <c r="I340" s="144"/>
      <c r="K340" s="75">
        <v>22.18</v>
      </c>
      <c r="M340" s="14"/>
      <c r="N340" s="17"/>
    </row>
    <row r="341" spans="1:14" ht="12.75">
      <c r="A341" s="17"/>
      <c r="D341" s="143" t="s">
        <v>614</v>
      </c>
      <c r="E341" s="144"/>
      <c r="F341" s="144"/>
      <c r="G341" s="144"/>
      <c r="H341" s="144"/>
      <c r="I341" s="144"/>
      <c r="K341" s="75">
        <v>7</v>
      </c>
      <c r="M341" s="14"/>
      <c r="N341" s="17"/>
    </row>
    <row r="342" spans="1:64" ht="12.75">
      <c r="A342" s="38" t="s">
        <v>146</v>
      </c>
      <c r="B342" s="45" t="s">
        <v>61</v>
      </c>
      <c r="C342" s="45" t="s">
        <v>330</v>
      </c>
      <c r="D342" s="141" t="s">
        <v>711</v>
      </c>
      <c r="E342" s="142"/>
      <c r="F342" s="142"/>
      <c r="G342" s="142"/>
      <c r="H342" s="142"/>
      <c r="I342" s="142"/>
      <c r="J342" s="45" t="s">
        <v>975</v>
      </c>
      <c r="K342" s="74">
        <v>1</v>
      </c>
      <c r="L342" s="53">
        <v>0</v>
      </c>
      <c r="M342" s="65">
        <f>K342*L342</f>
        <v>0</v>
      </c>
      <c r="N342" s="17"/>
      <c r="Z342" s="33">
        <f>IF(AQ342="5",BJ342,0)</f>
        <v>0</v>
      </c>
      <c r="AB342" s="33">
        <f>IF(AQ342="1",BH342,0)</f>
        <v>0</v>
      </c>
      <c r="AC342" s="33">
        <f>IF(AQ342="1",BI342,0)</f>
        <v>0</v>
      </c>
      <c r="AD342" s="33">
        <f>IF(AQ342="7",BH342,0)</f>
        <v>0</v>
      </c>
      <c r="AE342" s="33">
        <f>IF(AQ342="7",BI342,0)</f>
        <v>0</v>
      </c>
      <c r="AF342" s="33">
        <f>IF(AQ342="2",BH342,0)</f>
        <v>0</v>
      </c>
      <c r="AG342" s="33">
        <f>IF(AQ342="2",BI342,0)</f>
        <v>0</v>
      </c>
      <c r="AH342" s="33">
        <f>IF(AQ342="0",BJ342,0)</f>
        <v>0</v>
      </c>
      <c r="AI342" s="58" t="s">
        <v>61</v>
      </c>
      <c r="AJ342" s="53">
        <f>IF(AN342=0,M342,0)</f>
        <v>0</v>
      </c>
      <c r="AK342" s="53">
        <f>IF(AN342=15,M342,0)</f>
        <v>0</v>
      </c>
      <c r="AL342" s="53">
        <f>IF(AN342=21,M342,0)</f>
        <v>0</v>
      </c>
      <c r="AN342" s="33">
        <v>21</v>
      </c>
      <c r="AO342" s="33">
        <f>L342*0.110279069767442</f>
        <v>0</v>
      </c>
      <c r="AP342" s="33">
        <f>L342*(1-0.110279069767442)</f>
        <v>0</v>
      </c>
      <c r="AQ342" s="59" t="s">
        <v>80</v>
      </c>
      <c r="AV342" s="33">
        <f>AW342+AX342</f>
        <v>0</v>
      </c>
      <c r="AW342" s="33">
        <f>K342*AO342</f>
        <v>0</v>
      </c>
      <c r="AX342" s="33">
        <f>K342*AP342</f>
        <v>0</v>
      </c>
      <c r="AY342" s="61" t="s">
        <v>1004</v>
      </c>
      <c r="AZ342" s="61" t="s">
        <v>1025</v>
      </c>
      <c r="BA342" s="58" t="s">
        <v>1037</v>
      </c>
      <c r="BC342" s="33">
        <f>AW342+AX342</f>
        <v>0</v>
      </c>
      <c r="BD342" s="33">
        <f>L342/(100-BE342)*100</f>
        <v>0</v>
      </c>
      <c r="BE342" s="33">
        <v>0</v>
      </c>
      <c r="BF342" s="33">
        <f>342</f>
        <v>342</v>
      </c>
      <c r="BH342" s="53">
        <f>K342*AO342</f>
        <v>0</v>
      </c>
      <c r="BI342" s="53">
        <f>K342*AP342</f>
        <v>0</v>
      </c>
      <c r="BJ342" s="53">
        <f>K342*L342</f>
        <v>0</v>
      </c>
      <c r="BK342" s="53" t="s">
        <v>1046</v>
      </c>
      <c r="BL342" s="33">
        <v>89</v>
      </c>
    </row>
    <row r="343" spans="1:14" ht="12.75">
      <c r="A343" s="17"/>
      <c r="D343" s="143" t="s">
        <v>712</v>
      </c>
      <c r="E343" s="144"/>
      <c r="F343" s="144"/>
      <c r="G343" s="144"/>
      <c r="H343" s="144"/>
      <c r="I343" s="144"/>
      <c r="K343" s="75">
        <v>1</v>
      </c>
      <c r="M343" s="14"/>
      <c r="N343" s="17"/>
    </row>
    <row r="344" spans="1:64" ht="12.75">
      <c r="A344" s="38" t="s">
        <v>147</v>
      </c>
      <c r="B344" s="45" t="s">
        <v>61</v>
      </c>
      <c r="C344" s="45" t="s">
        <v>331</v>
      </c>
      <c r="D344" s="141" t="s">
        <v>713</v>
      </c>
      <c r="E344" s="142"/>
      <c r="F344" s="142"/>
      <c r="G344" s="142"/>
      <c r="H344" s="142"/>
      <c r="I344" s="142"/>
      <c r="J344" s="45" t="s">
        <v>975</v>
      </c>
      <c r="K344" s="74">
        <v>1</v>
      </c>
      <c r="L344" s="53">
        <v>0</v>
      </c>
      <c r="M344" s="65">
        <f>K344*L344</f>
        <v>0</v>
      </c>
      <c r="N344" s="17"/>
      <c r="Z344" s="33">
        <f>IF(AQ344="5",BJ344,0)</f>
        <v>0</v>
      </c>
      <c r="AB344" s="33">
        <f>IF(AQ344="1",BH344,0)</f>
        <v>0</v>
      </c>
      <c r="AC344" s="33">
        <f>IF(AQ344="1",BI344,0)</f>
        <v>0</v>
      </c>
      <c r="AD344" s="33">
        <f>IF(AQ344="7",BH344,0)</f>
        <v>0</v>
      </c>
      <c r="AE344" s="33">
        <f>IF(AQ344="7",BI344,0)</f>
        <v>0</v>
      </c>
      <c r="AF344" s="33">
        <f>IF(AQ344="2",BH344,0)</f>
        <v>0</v>
      </c>
      <c r="AG344" s="33">
        <f>IF(AQ344="2",BI344,0)</f>
        <v>0</v>
      </c>
      <c r="AH344" s="33">
        <f>IF(AQ344="0",BJ344,0)</f>
        <v>0</v>
      </c>
      <c r="AI344" s="58" t="s">
        <v>61</v>
      </c>
      <c r="AJ344" s="53">
        <f>IF(AN344=0,M344,0)</f>
        <v>0</v>
      </c>
      <c r="AK344" s="53">
        <f>IF(AN344=15,M344,0)</f>
        <v>0</v>
      </c>
      <c r="AL344" s="53">
        <f>IF(AN344=21,M344,0)</f>
        <v>0</v>
      </c>
      <c r="AN344" s="33">
        <v>21</v>
      </c>
      <c r="AO344" s="33">
        <f>L344*0.528697840218075</f>
        <v>0</v>
      </c>
      <c r="AP344" s="33">
        <f>L344*(1-0.528697840218075)</f>
        <v>0</v>
      </c>
      <c r="AQ344" s="59" t="s">
        <v>80</v>
      </c>
      <c r="AV344" s="33">
        <f>AW344+AX344</f>
        <v>0</v>
      </c>
      <c r="AW344" s="33">
        <f>K344*AO344</f>
        <v>0</v>
      </c>
      <c r="AX344" s="33">
        <f>K344*AP344</f>
        <v>0</v>
      </c>
      <c r="AY344" s="61" t="s">
        <v>1004</v>
      </c>
      <c r="AZ344" s="61" t="s">
        <v>1025</v>
      </c>
      <c r="BA344" s="58" t="s">
        <v>1037</v>
      </c>
      <c r="BC344" s="33">
        <f>AW344+AX344</f>
        <v>0</v>
      </c>
      <c r="BD344" s="33">
        <f>L344/(100-BE344)*100</f>
        <v>0</v>
      </c>
      <c r="BE344" s="33">
        <v>0</v>
      </c>
      <c r="BF344" s="33">
        <f>344</f>
        <v>344</v>
      </c>
      <c r="BH344" s="53">
        <f>K344*AO344</f>
        <v>0</v>
      </c>
      <c r="BI344" s="53">
        <f>K344*AP344</f>
        <v>0</v>
      </c>
      <c r="BJ344" s="53">
        <f>K344*L344</f>
        <v>0</v>
      </c>
      <c r="BK344" s="53" t="s">
        <v>1046</v>
      </c>
      <c r="BL344" s="33">
        <v>89</v>
      </c>
    </row>
    <row r="345" spans="1:14" ht="12.75">
      <c r="A345" s="17"/>
      <c r="D345" s="143" t="s">
        <v>712</v>
      </c>
      <c r="E345" s="144"/>
      <c r="F345" s="144"/>
      <c r="G345" s="144"/>
      <c r="H345" s="144"/>
      <c r="I345" s="144"/>
      <c r="K345" s="75">
        <v>1</v>
      </c>
      <c r="M345" s="14"/>
      <c r="N345" s="17"/>
    </row>
    <row r="346" spans="1:64" ht="12.75">
      <c r="A346" s="38" t="s">
        <v>148</v>
      </c>
      <c r="B346" s="45" t="s">
        <v>61</v>
      </c>
      <c r="C346" s="45" t="s">
        <v>332</v>
      </c>
      <c r="D346" s="141" t="s">
        <v>714</v>
      </c>
      <c r="E346" s="142"/>
      <c r="F346" s="142"/>
      <c r="G346" s="142"/>
      <c r="H346" s="142"/>
      <c r="I346" s="142"/>
      <c r="J346" s="45" t="s">
        <v>975</v>
      </c>
      <c r="K346" s="74">
        <v>3</v>
      </c>
      <c r="L346" s="53">
        <v>0</v>
      </c>
      <c r="M346" s="65">
        <f>K346*L346</f>
        <v>0</v>
      </c>
      <c r="N346" s="17"/>
      <c r="Z346" s="33">
        <f>IF(AQ346="5",BJ346,0)</f>
        <v>0</v>
      </c>
      <c r="AB346" s="33">
        <f>IF(AQ346="1",BH346,0)</f>
        <v>0</v>
      </c>
      <c r="AC346" s="33">
        <f>IF(AQ346="1",BI346,0)</f>
        <v>0</v>
      </c>
      <c r="AD346" s="33">
        <f>IF(AQ346="7",BH346,0)</f>
        <v>0</v>
      </c>
      <c r="AE346" s="33">
        <f>IF(AQ346="7",BI346,0)</f>
        <v>0</v>
      </c>
      <c r="AF346" s="33">
        <f>IF(AQ346="2",BH346,0)</f>
        <v>0</v>
      </c>
      <c r="AG346" s="33">
        <f>IF(AQ346="2",BI346,0)</f>
        <v>0</v>
      </c>
      <c r="AH346" s="33">
        <f>IF(AQ346="0",BJ346,0)</f>
        <v>0</v>
      </c>
      <c r="AI346" s="58" t="s">
        <v>61</v>
      </c>
      <c r="AJ346" s="53">
        <f>IF(AN346=0,M346,0)</f>
        <v>0</v>
      </c>
      <c r="AK346" s="53">
        <f>IF(AN346=15,M346,0)</f>
        <v>0</v>
      </c>
      <c r="AL346" s="53">
        <f>IF(AN346=21,M346,0)</f>
        <v>0</v>
      </c>
      <c r="AN346" s="33">
        <v>21</v>
      </c>
      <c r="AO346" s="33">
        <f>L346*0.891001107419712</f>
        <v>0</v>
      </c>
      <c r="AP346" s="33">
        <f>L346*(1-0.891001107419712)</f>
        <v>0</v>
      </c>
      <c r="AQ346" s="59" t="s">
        <v>80</v>
      </c>
      <c r="AV346" s="33">
        <f>AW346+AX346</f>
        <v>0</v>
      </c>
      <c r="AW346" s="33">
        <f>K346*AO346</f>
        <v>0</v>
      </c>
      <c r="AX346" s="33">
        <f>K346*AP346</f>
        <v>0</v>
      </c>
      <c r="AY346" s="61" t="s">
        <v>1004</v>
      </c>
      <c r="AZ346" s="61" t="s">
        <v>1025</v>
      </c>
      <c r="BA346" s="58" t="s">
        <v>1037</v>
      </c>
      <c r="BC346" s="33">
        <f>AW346+AX346</f>
        <v>0</v>
      </c>
      <c r="BD346" s="33">
        <f>L346/(100-BE346)*100</f>
        <v>0</v>
      </c>
      <c r="BE346" s="33">
        <v>0</v>
      </c>
      <c r="BF346" s="33">
        <f>346</f>
        <v>346</v>
      </c>
      <c r="BH346" s="53">
        <f>K346*AO346</f>
        <v>0</v>
      </c>
      <c r="BI346" s="53">
        <f>K346*AP346</f>
        <v>0</v>
      </c>
      <c r="BJ346" s="53">
        <f>K346*L346</f>
        <v>0</v>
      </c>
      <c r="BK346" s="53" t="s">
        <v>1046</v>
      </c>
      <c r="BL346" s="33">
        <v>89</v>
      </c>
    </row>
    <row r="347" spans="1:14" ht="12.75">
      <c r="A347" s="17"/>
      <c r="C347" s="48" t="s">
        <v>269</v>
      </c>
      <c r="D347" s="145" t="s">
        <v>715</v>
      </c>
      <c r="E347" s="146"/>
      <c r="F347" s="146"/>
      <c r="G347" s="146"/>
      <c r="H347" s="146"/>
      <c r="I347" s="146"/>
      <c r="J347" s="146"/>
      <c r="K347" s="146"/>
      <c r="L347" s="146"/>
      <c r="M347" s="147"/>
      <c r="N347" s="17"/>
    </row>
    <row r="348" spans="1:14" ht="12.75">
      <c r="A348" s="17"/>
      <c r="D348" s="143" t="s">
        <v>716</v>
      </c>
      <c r="E348" s="144"/>
      <c r="F348" s="144"/>
      <c r="G348" s="144"/>
      <c r="H348" s="144"/>
      <c r="I348" s="144"/>
      <c r="K348" s="75">
        <v>1</v>
      </c>
      <c r="M348" s="14"/>
      <c r="N348" s="17"/>
    </row>
    <row r="349" spans="1:14" ht="12.75">
      <c r="A349" s="17"/>
      <c r="D349" s="143" t="s">
        <v>717</v>
      </c>
      <c r="E349" s="144"/>
      <c r="F349" s="144"/>
      <c r="G349" s="144"/>
      <c r="H349" s="144"/>
      <c r="I349" s="144"/>
      <c r="K349" s="75">
        <v>1</v>
      </c>
      <c r="M349" s="14"/>
      <c r="N349" s="17"/>
    </row>
    <row r="350" spans="1:14" ht="12.75">
      <c r="A350" s="17"/>
      <c r="D350" s="143" t="s">
        <v>718</v>
      </c>
      <c r="E350" s="144"/>
      <c r="F350" s="144"/>
      <c r="G350" s="144"/>
      <c r="H350" s="144"/>
      <c r="I350" s="144"/>
      <c r="K350" s="75">
        <v>1</v>
      </c>
      <c r="M350" s="14"/>
      <c r="N350" s="17"/>
    </row>
    <row r="351" spans="1:64" ht="12.75">
      <c r="A351" s="38" t="s">
        <v>149</v>
      </c>
      <c r="B351" s="45" t="s">
        <v>61</v>
      </c>
      <c r="C351" s="45" t="s">
        <v>333</v>
      </c>
      <c r="D351" s="141" t="s">
        <v>719</v>
      </c>
      <c r="E351" s="142"/>
      <c r="F351" s="142"/>
      <c r="G351" s="142"/>
      <c r="H351" s="142"/>
      <c r="I351" s="142"/>
      <c r="J351" s="45" t="s">
        <v>975</v>
      </c>
      <c r="K351" s="74">
        <v>2</v>
      </c>
      <c r="L351" s="53">
        <v>0</v>
      </c>
      <c r="M351" s="65">
        <f>K351*L351</f>
        <v>0</v>
      </c>
      <c r="N351" s="17"/>
      <c r="Z351" s="33">
        <f>IF(AQ351="5",BJ351,0)</f>
        <v>0</v>
      </c>
      <c r="AB351" s="33">
        <f>IF(AQ351="1",BH351,0)</f>
        <v>0</v>
      </c>
      <c r="AC351" s="33">
        <f>IF(AQ351="1",BI351,0)</f>
        <v>0</v>
      </c>
      <c r="AD351" s="33">
        <f>IF(AQ351="7",BH351,0)</f>
        <v>0</v>
      </c>
      <c r="AE351" s="33">
        <f>IF(AQ351="7",BI351,0)</f>
        <v>0</v>
      </c>
      <c r="AF351" s="33">
        <f>IF(AQ351="2",BH351,0)</f>
        <v>0</v>
      </c>
      <c r="AG351" s="33">
        <f>IF(AQ351="2",BI351,0)</f>
        <v>0</v>
      </c>
      <c r="AH351" s="33">
        <f>IF(AQ351="0",BJ351,0)</f>
        <v>0</v>
      </c>
      <c r="AI351" s="58" t="s">
        <v>61</v>
      </c>
      <c r="AJ351" s="53">
        <f>IF(AN351=0,M351,0)</f>
        <v>0</v>
      </c>
      <c r="AK351" s="53">
        <f>IF(AN351=15,M351,0)</f>
        <v>0</v>
      </c>
      <c r="AL351" s="53">
        <f>IF(AN351=21,M351,0)</f>
        <v>0</v>
      </c>
      <c r="AN351" s="33">
        <v>21</v>
      </c>
      <c r="AO351" s="33">
        <f>L351*0.906424088210348</f>
        <v>0</v>
      </c>
      <c r="AP351" s="33">
        <f>L351*(1-0.906424088210348)</f>
        <v>0</v>
      </c>
      <c r="AQ351" s="59" t="s">
        <v>80</v>
      </c>
      <c r="AV351" s="33">
        <f>AW351+AX351</f>
        <v>0</v>
      </c>
      <c r="AW351" s="33">
        <f>K351*AO351</f>
        <v>0</v>
      </c>
      <c r="AX351" s="33">
        <f>K351*AP351</f>
        <v>0</v>
      </c>
      <c r="AY351" s="61" t="s">
        <v>1004</v>
      </c>
      <c r="AZ351" s="61" t="s">
        <v>1025</v>
      </c>
      <c r="BA351" s="58" t="s">
        <v>1037</v>
      </c>
      <c r="BC351" s="33">
        <f>AW351+AX351</f>
        <v>0</v>
      </c>
      <c r="BD351" s="33">
        <f>L351/(100-BE351)*100</f>
        <v>0</v>
      </c>
      <c r="BE351" s="33">
        <v>0</v>
      </c>
      <c r="BF351" s="33">
        <f>351</f>
        <v>351</v>
      </c>
      <c r="BH351" s="53">
        <f>K351*AO351</f>
        <v>0</v>
      </c>
      <c r="BI351" s="53">
        <f>K351*AP351</f>
        <v>0</v>
      </c>
      <c r="BJ351" s="53">
        <f>K351*L351</f>
        <v>0</v>
      </c>
      <c r="BK351" s="53" t="s">
        <v>1046</v>
      </c>
      <c r="BL351" s="33">
        <v>89</v>
      </c>
    </row>
    <row r="352" spans="1:14" ht="12.75">
      <c r="A352" s="17"/>
      <c r="C352" s="48" t="s">
        <v>269</v>
      </c>
      <c r="D352" s="145" t="s">
        <v>720</v>
      </c>
      <c r="E352" s="146"/>
      <c r="F352" s="146"/>
      <c r="G352" s="146"/>
      <c r="H352" s="146"/>
      <c r="I352" s="146"/>
      <c r="J352" s="146"/>
      <c r="K352" s="146"/>
      <c r="L352" s="146"/>
      <c r="M352" s="147"/>
      <c r="N352" s="17"/>
    </row>
    <row r="353" spans="1:14" ht="12.75">
      <c r="A353" s="17"/>
      <c r="D353" s="143" t="s">
        <v>677</v>
      </c>
      <c r="E353" s="144"/>
      <c r="F353" s="144"/>
      <c r="G353" s="144"/>
      <c r="H353" s="144"/>
      <c r="I353" s="144"/>
      <c r="K353" s="75">
        <v>1</v>
      </c>
      <c r="M353" s="14"/>
      <c r="N353" s="17"/>
    </row>
    <row r="354" spans="1:14" ht="12.75">
      <c r="A354" s="17"/>
      <c r="D354" s="143" t="s">
        <v>678</v>
      </c>
      <c r="E354" s="144"/>
      <c r="F354" s="144"/>
      <c r="G354" s="144"/>
      <c r="H354" s="144"/>
      <c r="I354" s="144"/>
      <c r="K354" s="75">
        <v>1</v>
      </c>
      <c r="M354" s="14"/>
      <c r="N354" s="17"/>
    </row>
    <row r="355" spans="1:64" ht="12.75">
      <c r="A355" s="38" t="s">
        <v>150</v>
      </c>
      <c r="B355" s="45" t="s">
        <v>61</v>
      </c>
      <c r="C355" s="45" t="s">
        <v>334</v>
      </c>
      <c r="D355" s="141" t="s">
        <v>721</v>
      </c>
      <c r="E355" s="142"/>
      <c r="F355" s="142"/>
      <c r="G355" s="142"/>
      <c r="H355" s="142"/>
      <c r="I355" s="142"/>
      <c r="J355" s="45" t="s">
        <v>975</v>
      </c>
      <c r="K355" s="74">
        <v>3</v>
      </c>
      <c r="L355" s="53">
        <v>0</v>
      </c>
      <c r="M355" s="65">
        <f>K355*L355</f>
        <v>0</v>
      </c>
      <c r="N355" s="17"/>
      <c r="Z355" s="33">
        <f>IF(AQ355="5",BJ355,0)</f>
        <v>0</v>
      </c>
      <c r="AB355" s="33">
        <f>IF(AQ355="1",BH355,0)</f>
        <v>0</v>
      </c>
      <c r="AC355" s="33">
        <f>IF(AQ355="1",BI355,0)</f>
        <v>0</v>
      </c>
      <c r="AD355" s="33">
        <f>IF(AQ355="7",BH355,0)</f>
        <v>0</v>
      </c>
      <c r="AE355" s="33">
        <f>IF(AQ355="7",BI355,0)</f>
        <v>0</v>
      </c>
      <c r="AF355" s="33">
        <f>IF(AQ355="2",BH355,0)</f>
        <v>0</v>
      </c>
      <c r="AG355" s="33">
        <f>IF(AQ355="2",BI355,0)</f>
        <v>0</v>
      </c>
      <c r="AH355" s="33">
        <f>IF(AQ355="0",BJ355,0)</f>
        <v>0</v>
      </c>
      <c r="AI355" s="58" t="s">
        <v>61</v>
      </c>
      <c r="AJ355" s="53">
        <f>IF(AN355=0,M355,0)</f>
        <v>0</v>
      </c>
      <c r="AK355" s="53">
        <f>IF(AN355=15,M355,0)</f>
        <v>0</v>
      </c>
      <c r="AL355" s="53">
        <f>IF(AN355=21,M355,0)</f>
        <v>0</v>
      </c>
      <c r="AN355" s="33">
        <v>21</v>
      </c>
      <c r="AO355" s="33">
        <f>L355*0.919473354930712</f>
        <v>0</v>
      </c>
      <c r="AP355" s="33">
        <f>L355*(1-0.919473354930712)</f>
        <v>0</v>
      </c>
      <c r="AQ355" s="59" t="s">
        <v>80</v>
      </c>
      <c r="AV355" s="33">
        <f>AW355+AX355</f>
        <v>0</v>
      </c>
      <c r="AW355" s="33">
        <f>K355*AO355</f>
        <v>0</v>
      </c>
      <c r="AX355" s="33">
        <f>K355*AP355</f>
        <v>0</v>
      </c>
      <c r="AY355" s="61" t="s">
        <v>1004</v>
      </c>
      <c r="AZ355" s="61" t="s">
        <v>1025</v>
      </c>
      <c r="BA355" s="58" t="s">
        <v>1037</v>
      </c>
      <c r="BC355" s="33">
        <f>AW355+AX355</f>
        <v>0</v>
      </c>
      <c r="BD355" s="33">
        <f>L355/(100-BE355)*100</f>
        <v>0</v>
      </c>
      <c r="BE355" s="33">
        <v>0</v>
      </c>
      <c r="BF355" s="33">
        <f>355</f>
        <v>355</v>
      </c>
      <c r="BH355" s="53">
        <f>K355*AO355</f>
        <v>0</v>
      </c>
      <c r="BI355" s="53">
        <f>K355*AP355</f>
        <v>0</v>
      </c>
      <c r="BJ355" s="53">
        <f>K355*L355</f>
        <v>0</v>
      </c>
      <c r="BK355" s="53" t="s">
        <v>1046</v>
      </c>
      <c r="BL355" s="33">
        <v>89</v>
      </c>
    </row>
    <row r="356" spans="1:14" ht="12.75">
      <c r="A356" s="17"/>
      <c r="C356" s="48" t="s">
        <v>269</v>
      </c>
      <c r="D356" s="145" t="s">
        <v>722</v>
      </c>
      <c r="E356" s="146"/>
      <c r="F356" s="146"/>
      <c r="G356" s="146"/>
      <c r="H356" s="146"/>
      <c r="I356" s="146"/>
      <c r="J356" s="146"/>
      <c r="K356" s="146"/>
      <c r="L356" s="146"/>
      <c r="M356" s="147"/>
      <c r="N356" s="17"/>
    </row>
    <row r="357" spans="1:14" ht="12.75">
      <c r="A357" s="17"/>
      <c r="D357" s="143" t="s">
        <v>673</v>
      </c>
      <c r="E357" s="144"/>
      <c r="F357" s="144"/>
      <c r="G357" s="144"/>
      <c r="H357" s="144"/>
      <c r="I357" s="144"/>
      <c r="K357" s="75">
        <v>1</v>
      </c>
      <c r="M357" s="14"/>
      <c r="N357" s="17"/>
    </row>
    <row r="358" spans="1:14" ht="12.75">
      <c r="A358" s="17"/>
      <c r="D358" s="143" t="s">
        <v>674</v>
      </c>
      <c r="E358" s="144"/>
      <c r="F358" s="144"/>
      <c r="G358" s="144"/>
      <c r="H358" s="144"/>
      <c r="I358" s="144"/>
      <c r="K358" s="75">
        <v>1</v>
      </c>
      <c r="M358" s="14"/>
      <c r="N358" s="17"/>
    </row>
    <row r="359" spans="1:14" ht="12.75">
      <c r="A359" s="17"/>
      <c r="D359" s="143" t="s">
        <v>723</v>
      </c>
      <c r="E359" s="144"/>
      <c r="F359" s="144"/>
      <c r="G359" s="144"/>
      <c r="H359" s="144"/>
      <c r="I359" s="144"/>
      <c r="K359" s="75">
        <v>1</v>
      </c>
      <c r="M359" s="14"/>
      <c r="N359" s="17"/>
    </row>
    <row r="360" spans="1:64" ht="12.75">
      <c r="A360" s="38" t="s">
        <v>151</v>
      </c>
      <c r="B360" s="45" t="s">
        <v>61</v>
      </c>
      <c r="C360" s="45" t="s">
        <v>335</v>
      </c>
      <c r="D360" s="141" t="s">
        <v>724</v>
      </c>
      <c r="E360" s="142"/>
      <c r="F360" s="142"/>
      <c r="G360" s="142"/>
      <c r="H360" s="142"/>
      <c r="I360" s="142"/>
      <c r="J360" s="45" t="s">
        <v>975</v>
      </c>
      <c r="K360" s="74">
        <v>1</v>
      </c>
      <c r="L360" s="53">
        <v>0</v>
      </c>
      <c r="M360" s="65">
        <f>K360*L360</f>
        <v>0</v>
      </c>
      <c r="N360" s="17"/>
      <c r="Z360" s="33">
        <f>IF(AQ360="5",BJ360,0)</f>
        <v>0</v>
      </c>
      <c r="AB360" s="33">
        <f>IF(AQ360="1",BH360,0)</f>
        <v>0</v>
      </c>
      <c r="AC360" s="33">
        <f>IF(AQ360="1",BI360,0)</f>
        <v>0</v>
      </c>
      <c r="AD360" s="33">
        <f>IF(AQ360="7",BH360,0)</f>
        <v>0</v>
      </c>
      <c r="AE360" s="33">
        <f>IF(AQ360="7",BI360,0)</f>
        <v>0</v>
      </c>
      <c r="AF360" s="33">
        <f>IF(AQ360="2",BH360,0)</f>
        <v>0</v>
      </c>
      <c r="AG360" s="33">
        <f>IF(AQ360="2",BI360,0)</f>
        <v>0</v>
      </c>
      <c r="AH360" s="33">
        <f>IF(AQ360="0",BJ360,0)</f>
        <v>0</v>
      </c>
      <c r="AI360" s="58" t="s">
        <v>61</v>
      </c>
      <c r="AJ360" s="53">
        <f>IF(AN360=0,M360,0)</f>
        <v>0</v>
      </c>
      <c r="AK360" s="53">
        <f>IF(AN360=15,M360,0)</f>
        <v>0</v>
      </c>
      <c r="AL360" s="53">
        <f>IF(AN360=21,M360,0)</f>
        <v>0</v>
      </c>
      <c r="AN360" s="33">
        <v>21</v>
      </c>
      <c r="AO360" s="33">
        <f>L360*0.915370799536501</f>
        <v>0</v>
      </c>
      <c r="AP360" s="33">
        <f>L360*(1-0.915370799536501)</f>
        <v>0</v>
      </c>
      <c r="AQ360" s="59" t="s">
        <v>80</v>
      </c>
      <c r="AV360" s="33">
        <f>AW360+AX360</f>
        <v>0</v>
      </c>
      <c r="AW360" s="33">
        <f>K360*AO360</f>
        <v>0</v>
      </c>
      <c r="AX360" s="33">
        <f>K360*AP360</f>
        <v>0</v>
      </c>
      <c r="AY360" s="61" t="s">
        <v>1004</v>
      </c>
      <c r="AZ360" s="61" t="s">
        <v>1025</v>
      </c>
      <c r="BA360" s="58" t="s">
        <v>1037</v>
      </c>
      <c r="BC360" s="33">
        <f>AW360+AX360</f>
        <v>0</v>
      </c>
      <c r="BD360" s="33">
        <f>L360/(100-BE360)*100</f>
        <v>0</v>
      </c>
      <c r="BE360" s="33">
        <v>0</v>
      </c>
      <c r="BF360" s="33">
        <f>360</f>
        <v>360</v>
      </c>
      <c r="BH360" s="53">
        <f>K360*AO360</f>
        <v>0</v>
      </c>
      <c r="BI360" s="53">
        <f>K360*AP360</f>
        <v>0</v>
      </c>
      <c r="BJ360" s="53">
        <f>K360*L360</f>
        <v>0</v>
      </c>
      <c r="BK360" s="53" t="s">
        <v>1046</v>
      </c>
      <c r="BL360" s="33">
        <v>89</v>
      </c>
    </row>
    <row r="361" spans="1:14" ht="12.75">
      <c r="A361" s="17"/>
      <c r="C361" s="48" t="s">
        <v>269</v>
      </c>
      <c r="D361" s="145" t="s">
        <v>725</v>
      </c>
      <c r="E361" s="146"/>
      <c r="F361" s="146"/>
      <c r="G361" s="146"/>
      <c r="H361" s="146"/>
      <c r="I361" s="146"/>
      <c r="J361" s="146"/>
      <c r="K361" s="146"/>
      <c r="L361" s="146"/>
      <c r="M361" s="147"/>
      <c r="N361" s="17"/>
    </row>
    <row r="362" spans="1:14" ht="12.75">
      <c r="A362" s="17"/>
      <c r="D362" s="143" t="s">
        <v>726</v>
      </c>
      <c r="E362" s="144"/>
      <c r="F362" s="144"/>
      <c r="G362" s="144"/>
      <c r="H362" s="144"/>
      <c r="I362" s="144"/>
      <c r="K362" s="75">
        <v>1</v>
      </c>
      <c r="M362" s="14"/>
      <c r="N362" s="17"/>
    </row>
    <row r="363" spans="1:64" ht="12.75">
      <c r="A363" s="38" t="s">
        <v>152</v>
      </c>
      <c r="B363" s="45" t="s">
        <v>61</v>
      </c>
      <c r="C363" s="45" t="s">
        <v>336</v>
      </c>
      <c r="D363" s="141" t="s">
        <v>724</v>
      </c>
      <c r="E363" s="142"/>
      <c r="F363" s="142"/>
      <c r="G363" s="142"/>
      <c r="H363" s="142"/>
      <c r="I363" s="142"/>
      <c r="J363" s="45" t="s">
        <v>975</v>
      </c>
      <c r="K363" s="74">
        <v>1</v>
      </c>
      <c r="L363" s="53">
        <v>0</v>
      </c>
      <c r="M363" s="65">
        <f>K363*L363</f>
        <v>0</v>
      </c>
      <c r="N363" s="17"/>
      <c r="Z363" s="33">
        <f>IF(AQ363="5",BJ363,0)</f>
        <v>0</v>
      </c>
      <c r="AB363" s="33">
        <f>IF(AQ363="1",BH363,0)</f>
        <v>0</v>
      </c>
      <c r="AC363" s="33">
        <f>IF(AQ363="1",BI363,0)</f>
        <v>0</v>
      </c>
      <c r="AD363" s="33">
        <f>IF(AQ363="7",BH363,0)</f>
        <v>0</v>
      </c>
      <c r="AE363" s="33">
        <f>IF(AQ363="7",BI363,0)</f>
        <v>0</v>
      </c>
      <c r="AF363" s="33">
        <f>IF(AQ363="2",BH363,0)</f>
        <v>0</v>
      </c>
      <c r="AG363" s="33">
        <f>IF(AQ363="2",BI363,0)</f>
        <v>0</v>
      </c>
      <c r="AH363" s="33">
        <f>IF(AQ363="0",BJ363,0)</f>
        <v>0</v>
      </c>
      <c r="AI363" s="58" t="s">
        <v>61</v>
      </c>
      <c r="AJ363" s="53">
        <f>IF(AN363=0,M363,0)</f>
        <v>0</v>
      </c>
      <c r="AK363" s="53">
        <f>IF(AN363=15,M363,0)</f>
        <v>0</v>
      </c>
      <c r="AL363" s="53">
        <f>IF(AN363=21,M363,0)</f>
        <v>0</v>
      </c>
      <c r="AN363" s="33">
        <v>21</v>
      </c>
      <c r="AO363" s="33">
        <f>L363*0.920092997811816</f>
        <v>0</v>
      </c>
      <c r="AP363" s="33">
        <f>L363*(1-0.920092997811816)</f>
        <v>0</v>
      </c>
      <c r="AQ363" s="59" t="s">
        <v>80</v>
      </c>
      <c r="AV363" s="33">
        <f>AW363+AX363</f>
        <v>0</v>
      </c>
      <c r="AW363" s="33">
        <f>K363*AO363</f>
        <v>0</v>
      </c>
      <c r="AX363" s="33">
        <f>K363*AP363</f>
        <v>0</v>
      </c>
      <c r="AY363" s="61" t="s">
        <v>1004</v>
      </c>
      <c r="AZ363" s="61" t="s">
        <v>1025</v>
      </c>
      <c r="BA363" s="58" t="s">
        <v>1037</v>
      </c>
      <c r="BC363" s="33">
        <f>AW363+AX363</f>
        <v>0</v>
      </c>
      <c r="BD363" s="33">
        <f>L363/(100-BE363)*100</f>
        <v>0</v>
      </c>
      <c r="BE363" s="33">
        <v>0</v>
      </c>
      <c r="BF363" s="33">
        <f>363</f>
        <v>363</v>
      </c>
      <c r="BH363" s="53">
        <f>K363*AO363</f>
        <v>0</v>
      </c>
      <c r="BI363" s="53">
        <f>K363*AP363</f>
        <v>0</v>
      </c>
      <c r="BJ363" s="53">
        <f>K363*L363</f>
        <v>0</v>
      </c>
      <c r="BK363" s="53" t="s">
        <v>1046</v>
      </c>
      <c r="BL363" s="33">
        <v>89</v>
      </c>
    </row>
    <row r="364" spans="1:14" ht="12.75">
      <c r="A364" s="17"/>
      <c r="C364" s="48" t="s">
        <v>269</v>
      </c>
      <c r="D364" s="145" t="s">
        <v>727</v>
      </c>
      <c r="E364" s="146"/>
      <c r="F364" s="146"/>
      <c r="G364" s="146"/>
      <c r="H364" s="146"/>
      <c r="I364" s="146"/>
      <c r="J364" s="146"/>
      <c r="K364" s="146"/>
      <c r="L364" s="146"/>
      <c r="M364" s="147"/>
      <c r="N364" s="17"/>
    </row>
    <row r="365" spans="1:14" ht="12.75">
      <c r="A365" s="17"/>
      <c r="D365" s="143" t="s">
        <v>728</v>
      </c>
      <c r="E365" s="144"/>
      <c r="F365" s="144"/>
      <c r="G365" s="144"/>
      <c r="H365" s="144"/>
      <c r="I365" s="144"/>
      <c r="K365" s="75">
        <v>1</v>
      </c>
      <c r="M365" s="14"/>
      <c r="N365" s="17"/>
    </row>
    <row r="366" spans="1:64" ht="12.75">
      <c r="A366" s="38" t="s">
        <v>153</v>
      </c>
      <c r="B366" s="45" t="s">
        <v>61</v>
      </c>
      <c r="C366" s="45" t="s">
        <v>337</v>
      </c>
      <c r="D366" s="141" t="s">
        <v>729</v>
      </c>
      <c r="E366" s="142"/>
      <c r="F366" s="142"/>
      <c r="G366" s="142"/>
      <c r="H366" s="142"/>
      <c r="I366" s="142"/>
      <c r="J366" s="45" t="s">
        <v>975</v>
      </c>
      <c r="K366" s="74">
        <v>1</v>
      </c>
      <c r="L366" s="53">
        <v>0</v>
      </c>
      <c r="M366" s="65">
        <f>K366*L366</f>
        <v>0</v>
      </c>
      <c r="N366" s="17"/>
      <c r="Z366" s="33">
        <f>IF(AQ366="5",BJ366,0)</f>
        <v>0</v>
      </c>
      <c r="AB366" s="33">
        <f>IF(AQ366="1",BH366,0)</f>
        <v>0</v>
      </c>
      <c r="AC366" s="33">
        <f>IF(AQ366="1",BI366,0)</f>
        <v>0</v>
      </c>
      <c r="AD366" s="33">
        <f>IF(AQ366="7",BH366,0)</f>
        <v>0</v>
      </c>
      <c r="AE366" s="33">
        <f>IF(AQ366="7",BI366,0)</f>
        <v>0</v>
      </c>
      <c r="AF366" s="33">
        <f>IF(AQ366="2",BH366,0)</f>
        <v>0</v>
      </c>
      <c r="AG366" s="33">
        <f>IF(AQ366="2",BI366,0)</f>
        <v>0</v>
      </c>
      <c r="AH366" s="33">
        <f>IF(AQ366="0",BJ366,0)</f>
        <v>0</v>
      </c>
      <c r="AI366" s="58" t="s">
        <v>61</v>
      </c>
      <c r="AJ366" s="53">
        <f>IF(AN366=0,M366,0)</f>
        <v>0</v>
      </c>
      <c r="AK366" s="53">
        <f>IF(AN366=15,M366,0)</f>
        <v>0</v>
      </c>
      <c r="AL366" s="53">
        <f>IF(AN366=21,M366,0)</f>
        <v>0</v>
      </c>
      <c r="AN366" s="33">
        <v>21</v>
      </c>
      <c r="AO366" s="33">
        <f>L366*0.919431880860452</f>
        <v>0</v>
      </c>
      <c r="AP366" s="33">
        <f>L366*(1-0.919431880860452)</f>
        <v>0</v>
      </c>
      <c r="AQ366" s="59" t="s">
        <v>80</v>
      </c>
      <c r="AV366" s="33">
        <f>AW366+AX366</f>
        <v>0</v>
      </c>
      <c r="AW366" s="33">
        <f>K366*AO366</f>
        <v>0</v>
      </c>
      <c r="AX366" s="33">
        <f>K366*AP366</f>
        <v>0</v>
      </c>
      <c r="AY366" s="61" t="s">
        <v>1004</v>
      </c>
      <c r="AZ366" s="61" t="s">
        <v>1025</v>
      </c>
      <c r="BA366" s="58" t="s">
        <v>1037</v>
      </c>
      <c r="BC366" s="33">
        <f>AW366+AX366</f>
        <v>0</v>
      </c>
      <c r="BD366" s="33">
        <f>L366/(100-BE366)*100</f>
        <v>0</v>
      </c>
      <c r="BE366" s="33">
        <v>0</v>
      </c>
      <c r="BF366" s="33">
        <f>366</f>
        <v>366</v>
      </c>
      <c r="BH366" s="53">
        <f>K366*AO366</f>
        <v>0</v>
      </c>
      <c r="BI366" s="53">
        <f>K366*AP366</f>
        <v>0</v>
      </c>
      <c r="BJ366" s="53">
        <f>K366*L366</f>
        <v>0</v>
      </c>
      <c r="BK366" s="53" t="s">
        <v>1046</v>
      </c>
      <c r="BL366" s="33">
        <v>89</v>
      </c>
    </row>
    <row r="367" spans="1:14" ht="12.75">
      <c r="A367" s="17"/>
      <c r="C367" s="48" t="s">
        <v>269</v>
      </c>
      <c r="D367" s="145" t="s">
        <v>725</v>
      </c>
      <c r="E367" s="146"/>
      <c r="F367" s="146"/>
      <c r="G367" s="146"/>
      <c r="H367" s="146"/>
      <c r="I367" s="146"/>
      <c r="J367" s="146"/>
      <c r="K367" s="146"/>
      <c r="L367" s="146"/>
      <c r="M367" s="147"/>
      <c r="N367" s="17"/>
    </row>
    <row r="368" spans="1:14" ht="12.75">
      <c r="A368" s="17"/>
      <c r="D368" s="143" t="s">
        <v>730</v>
      </c>
      <c r="E368" s="144"/>
      <c r="F368" s="144"/>
      <c r="G368" s="144"/>
      <c r="H368" s="144"/>
      <c r="I368" s="144"/>
      <c r="K368" s="75">
        <v>1</v>
      </c>
      <c r="M368" s="14"/>
      <c r="N368" s="17"/>
    </row>
    <row r="369" spans="1:64" ht="12.75">
      <c r="A369" s="38" t="s">
        <v>154</v>
      </c>
      <c r="B369" s="45" t="s">
        <v>61</v>
      </c>
      <c r="C369" s="45" t="s">
        <v>338</v>
      </c>
      <c r="D369" s="141" t="s">
        <v>729</v>
      </c>
      <c r="E369" s="142"/>
      <c r="F369" s="142"/>
      <c r="G369" s="142"/>
      <c r="H369" s="142"/>
      <c r="I369" s="142"/>
      <c r="J369" s="45" t="s">
        <v>975</v>
      </c>
      <c r="K369" s="74">
        <v>1</v>
      </c>
      <c r="L369" s="53">
        <v>0</v>
      </c>
      <c r="M369" s="65">
        <f>K369*L369</f>
        <v>0</v>
      </c>
      <c r="N369" s="17"/>
      <c r="Z369" s="33">
        <f>IF(AQ369="5",BJ369,0)</f>
        <v>0</v>
      </c>
      <c r="AB369" s="33">
        <f>IF(AQ369="1",BH369,0)</f>
        <v>0</v>
      </c>
      <c r="AC369" s="33">
        <f>IF(AQ369="1",BI369,0)</f>
        <v>0</v>
      </c>
      <c r="AD369" s="33">
        <f>IF(AQ369="7",BH369,0)</f>
        <v>0</v>
      </c>
      <c r="AE369" s="33">
        <f>IF(AQ369="7",BI369,0)</f>
        <v>0</v>
      </c>
      <c r="AF369" s="33">
        <f>IF(AQ369="2",BH369,0)</f>
        <v>0</v>
      </c>
      <c r="AG369" s="33">
        <f>IF(AQ369="2",BI369,0)</f>
        <v>0</v>
      </c>
      <c r="AH369" s="33">
        <f>IF(AQ369="0",BJ369,0)</f>
        <v>0</v>
      </c>
      <c r="AI369" s="58" t="s">
        <v>61</v>
      </c>
      <c r="AJ369" s="53">
        <f>IF(AN369=0,M369,0)</f>
        <v>0</v>
      </c>
      <c r="AK369" s="53">
        <f>IF(AN369=15,M369,0)</f>
        <v>0</v>
      </c>
      <c r="AL369" s="53">
        <f>IF(AN369=21,M369,0)</f>
        <v>0</v>
      </c>
      <c r="AN369" s="33">
        <v>21</v>
      </c>
      <c r="AO369" s="33">
        <f>L369*0.927074388417374</f>
        <v>0</v>
      </c>
      <c r="AP369" s="33">
        <f>L369*(1-0.927074388417374)</f>
        <v>0</v>
      </c>
      <c r="AQ369" s="59" t="s">
        <v>80</v>
      </c>
      <c r="AV369" s="33">
        <f>AW369+AX369</f>
        <v>0</v>
      </c>
      <c r="AW369" s="33">
        <f>K369*AO369</f>
        <v>0</v>
      </c>
      <c r="AX369" s="33">
        <f>K369*AP369</f>
        <v>0</v>
      </c>
      <c r="AY369" s="61" t="s">
        <v>1004</v>
      </c>
      <c r="AZ369" s="61" t="s">
        <v>1025</v>
      </c>
      <c r="BA369" s="58" t="s">
        <v>1037</v>
      </c>
      <c r="BC369" s="33">
        <f>AW369+AX369</f>
        <v>0</v>
      </c>
      <c r="BD369" s="33">
        <f>L369/(100-BE369)*100</f>
        <v>0</v>
      </c>
      <c r="BE369" s="33">
        <v>0</v>
      </c>
      <c r="BF369" s="33">
        <f>369</f>
        <v>369</v>
      </c>
      <c r="BH369" s="53">
        <f>K369*AO369</f>
        <v>0</v>
      </c>
      <c r="BI369" s="53">
        <f>K369*AP369</f>
        <v>0</v>
      </c>
      <c r="BJ369" s="53">
        <f>K369*L369</f>
        <v>0</v>
      </c>
      <c r="BK369" s="53" t="s">
        <v>1046</v>
      </c>
      <c r="BL369" s="33">
        <v>89</v>
      </c>
    </row>
    <row r="370" spans="1:14" ht="12.75">
      <c r="A370" s="17"/>
      <c r="C370" s="48" t="s">
        <v>269</v>
      </c>
      <c r="D370" s="145" t="s">
        <v>727</v>
      </c>
      <c r="E370" s="146"/>
      <c r="F370" s="146"/>
      <c r="G370" s="146"/>
      <c r="H370" s="146"/>
      <c r="I370" s="146"/>
      <c r="J370" s="146"/>
      <c r="K370" s="146"/>
      <c r="L370" s="146"/>
      <c r="M370" s="147"/>
      <c r="N370" s="17"/>
    </row>
    <row r="371" spans="1:14" ht="12.75">
      <c r="A371" s="17"/>
      <c r="D371" s="143" t="s">
        <v>731</v>
      </c>
      <c r="E371" s="144"/>
      <c r="F371" s="144"/>
      <c r="G371" s="144"/>
      <c r="H371" s="144"/>
      <c r="I371" s="144"/>
      <c r="K371" s="75">
        <v>1</v>
      </c>
      <c r="M371" s="14"/>
      <c r="N371" s="17"/>
    </row>
    <row r="372" spans="1:64" ht="12.75">
      <c r="A372" s="38" t="s">
        <v>155</v>
      </c>
      <c r="B372" s="45" t="s">
        <v>61</v>
      </c>
      <c r="C372" s="45" t="s">
        <v>339</v>
      </c>
      <c r="D372" s="141" t="s">
        <v>732</v>
      </c>
      <c r="E372" s="142"/>
      <c r="F372" s="142"/>
      <c r="G372" s="142"/>
      <c r="H372" s="142"/>
      <c r="I372" s="142"/>
      <c r="J372" s="45" t="s">
        <v>975</v>
      </c>
      <c r="K372" s="74">
        <v>1</v>
      </c>
      <c r="L372" s="53">
        <v>0</v>
      </c>
      <c r="M372" s="65">
        <f>K372*L372</f>
        <v>0</v>
      </c>
      <c r="N372" s="17"/>
      <c r="Z372" s="33">
        <f>IF(AQ372="5",BJ372,0)</f>
        <v>0</v>
      </c>
      <c r="AB372" s="33">
        <f>IF(AQ372="1",BH372,0)</f>
        <v>0</v>
      </c>
      <c r="AC372" s="33">
        <f>IF(AQ372="1",BI372,0)</f>
        <v>0</v>
      </c>
      <c r="AD372" s="33">
        <f>IF(AQ372="7",BH372,0)</f>
        <v>0</v>
      </c>
      <c r="AE372" s="33">
        <f>IF(AQ372="7",BI372,0)</f>
        <v>0</v>
      </c>
      <c r="AF372" s="33">
        <f>IF(AQ372="2",BH372,0)</f>
        <v>0</v>
      </c>
      <c r="AG372" s="33">
        <f>IF(AQ372="2",BI372,0)</f>
        <v>0</v>
      </c>
      <c r="AH372" s="33">
        <f>IF(AQ372="0",BJ372,0)</f>
        <v>0</v>
      </c>
      <c r="AI372" s="58" t="s">
        <v>61</v>
      </c>
      <c r="AJ372" s="53">
        <f>IF(AN372=0,M372,0)</f>
        <v>0</v>
      </c>
      <c r="AK372" s="53">
        <f>IF(AN372=15,M372,0)</f>
        <v>0</v>
      </c>
      <c r="AL372" s="53">
        <f>IF(AN372=21,M372,0)</f>
        <v>0</v>
      </c>
      <c r="AN372" s="33">
        <v>21</v>
      </c>
      <c r="AO372" s="33">
        <f>L372*0.922550371155885</f>
        <v>0</v>
      </c>
      <c r="AP372" s="33">
        <f>L372*(1-0.922550371155885)</f>
        <v>0</v>
      </c>
      <c r="AQ372" s="59" t="s">
        <v>80</v>
      </c>
      <c r="AV372" s="33">
        <f>AW372+AX372</f>
        <v>0</v>
      </c>
      <c r="AW372" s="33">
        <f>K372*AO372</f>
        <v>0</v>
      </c>
      <c r="AX372" s="33">
        <f>K372*AP372</f>
        <v>0</v>
      </c>
      <c r="AY372" s="61" t="s">
        <v>1004</v>
      </c>
      <c r="AZ372" s="61" t="s">
        <v>1025</v>
      </c>
      <c r="BA372" s="58" t="s">
        <v>1037</v>
      </c>
      <c r="BC372" s="33">
        <f>AW372+AX372</f>
        <v>0</v>
      </c>
      <c r="BD372" s="33">
        <f>L372/(100-BE372)*100</f>
        <v>0</v>
      </c>
      <c r="BE372" s="33">
        <v>0</v>
      </c>
      <c r="BF372" s="33">
        <f>372</f>
        <v>372</v>
      </c>
      <c r="BH372" s="53">
        <f>K372*AO372</f>
        <v>0</v>
      </c>
      <c r="BI372" s="53">
        <f>K372*AP372</f>
        <v>0</v>
      </c>
      <c r="BJ372" s="53">
        <f>K372*L372</f>
        <v>0</v>
      </c>
      <c r="BK372" s="53" t="s">
        <v>1046</v>
      </c>
      <c r="BL372" s="33">
        <v>89</v>
      </c>
    </row>
    <row r="373" spans="1:14" ht="12.75">
      <c r="A373" s="17"/>
      <c r="C373" s="48" t="s">
        <v>269</v>
      </c>
      <c r="D373" s="145" t="s">
        <v>733</v>
      </c>
      <c r="E373" s="146"/>
      <c r="F373" s="146"/>
      <c r="G373" s="146"/>
      <c r="H373" s="146"/>
      <c r="I373" s="146"/>
      <c r="J373" s="146"/>
      <c r="K373" s="146"/>
      <c r="L373" s="146"/>
      <c r="M373" s="147"/>
      <c r="N373" s="17"/>
    </row>
    <row r="374" spans="1:14" ht="12.75">
      <c r="A374" s="17"/>
      <c r="D374" s="143" t="s">
        <v>734</v>
      </c>
      <c r="E374" s="144"/>
      <c r="F374" s="144"/>
      <c r="G374" s="144"/>
      <c r="H374" s="144"/>
      <c r="I374" s="144"/>
      <c r="K374" s="75">
        <v>1</v>
      </c>
      <c r="M374" s="14"/>
      <c r="N374" s="17"/>
    </row>
    <row r="375" spans="1:64" ht="12.75">
      <c r="A375" s="38" t="s">
        <v>156</v>
      </c>
      <c r="B375" s="45" t="s">
        <v>61</v>
      </c>
      <c r="C375" s="45" t="s">
        <v>340</v>
      </c>
      <c r="D375" s="141" t="s">
        <v>735</v>
      </c>
      <c r="E375" s="142"/>
      <c r="F375" s="142"/>
      <c r="G375" s="142"/>
      <c r="H375" s="142"/>
      <c r="I375" s="142"/>
      <c r="J375" s="45" t="s">
        <v>975</v>
      </c>
      <c r="K375" s="74">
        <v>4</v>
      </c>
      <c r="L375" s="53">
        <v>0</v>
      </c>
      <c r="M375" s="65">
        <f>K375*L375</f>
        <v>0</v>
      </c>
      <c r="N375" s="17"/>
      <c r="Z375" s="33">
        <f>IF(AQ375="5",BJ375,0)</f>
        <v>0</v>
      </c>
      <c r="AB375" s="33">
        <f>IF(AQ375="1",BH375,0)</f>
        <v>0</v>
      </c>
      <c r="AC375" s="33">
        <f>IF(AQ375="1",BI375,0)</f>
        <v>0</v>
      </c>
      <c r="AD375" s="33">
        <f>IF(AQ375="7",BH375,0)</f>
        <v>0</v>
      </c>
      <c r="AE375" s="33">
        <f>IF(AQ375="7",BI375,0)</f>
        <v>0</v>
      </c>
      <c r="AF375" s="33">
        <f>IF(AQ375="2",BH375,0)</f>
        <v>0</v>
      </c>
      <c r="AG375" s="33">
        <f>IF(AQ375="2",BI375,0)</f>
        <v>0</v>
      </c>
      <c r="AH375" s="33">
        <f>IF(AQ375="0",BJ375,0)</f>
        <v>0</v>
      </c>
      <c r="AI375" s="58" t="s">
        <v>61</v>
      </c>
      <c r="AJ375" s="53">
        <f>IF(AN375=0,M375,0)</f>
        <v>0</v>
      </c>
      <c r="AK375" s="53">
        <f>IF(AN375=15,M375,0)</f>
        <v>0</v>
      </c>
      <c r="AL375" s="53">
        <f>IF(AN375=21,M375,0)</f>
        <v>0</v>
      </c>
      <c r="AN375" s="33">
        <v>21</v>
      </c>
      <c r="AO375" s="33">
        <f>L375*0.926709642134524</f>
        <v>0</v>
      </c>
      <c r="AP375" s="33">
        <f>L375*(1-0.926709642134524)</f>
        <v>0</v>
      </c>
      <c r="AQ375" s="59" t="s">
        <v>80</v>
      </c>
      <c r="AV375" s="33">
        <f>AW375+AX375</f>
        <v>0</v>
      </c>
      <c r="AW375" s="33">
        <f>K375*AO375</f>
        <v>0</v>
      </c>
      <c r="AX375" s="33">
        <f>K375*AP375</f>
        <v>0</v>
      </c>
      <c r="AY375" s="61" t="s">
        <v>1004</v>
      </c>
      <c r="AZ375" s="61" t="s">
        <v>1025</v>
      </c>
      <c r="BA375" s="58" t="s">
        <v>1037</v>
      </c>
      <c r="BC375" s="33">
        <f>AW375+AX375</f>
        <v>0</v>
      </c>
      <c r="BD375" s="33">
        <f>L375/(100-BE375)*100</f>
        <v>0</v>
      </c>
      <c r="BE375" s="33">
        <v>0</v>
      </c>
      <c r="BF375" s="33">
        <f>375</f>
        <v>375</v>
      </c>
      <c r="BH375" s="53">
        <f>K375*AO375</f>
        <v>0</v>
      </c>
      <c r="BI375" s="53">
        <f>K375*AP375</f>
        <v>0</v>
      </c>
      <c r="BJ375" s="53">
        <f>K375*L375</f>
        <v>0</v>
      </c>
      <c r="BK375" s="53" t="s">
        <v>1046</v>
      </c>
      <c r="BL375" s="33">
        <v>89</v>
      </c>
    </row>
    <row r="376" spans="1:14" ht="12.75">
      <c r="A376" s="17"/>
      <c r="C376" s="48" t="s">
        <v>269</v>
      </c>
      <c r="D376" s="145" t="s">
        <v>725</v>
      </c>
      <c r="E376" s="146"/>
      <c r="F376" s="146"/>
      <c r="G376" s="146"/>
      <c r="H376" s="146"/>
      <c r="I376" s="146"/>
      <c r="J376" s="146"/>
      <c r="K376" s="146"/>
      <c r="L376" s="146"/>
      <c r="M376" s="147"/>
      <c r="N376" s="17"/>
    </row>
    <row r="377" spans="1:14" ht="12.75">
      <c r="A377" s="17"/>
      <c r="D377" s="143" t="s">
        <v>736</v>
      </c>
      <c r="E377" s="144"/>
      <c r="F377" s="144"/>
      <c r="G377" s="144"/>
      <c r="H377" s="144"/>
      <c r="I377" s="144"/>
      <c r="K377" s="75">
        <v>1</v>
      </c>
      <c r="M377" s="14"/>
      <c r="N377" s="17"/>
    </row>
    <row r="378" spans="1:14" ht="12.75">
      <c r="A378" s="17"/>
      <c r="D378" s="143" t="s">
        <v>737</v>
      </c>
      <c r="E378" s="144"/>
      <c r="F378" s="144"/>
      <c r="G378" s="144"/>
      <c r="H378" s="144"/>
      <c r="I378" s="144"/>
      <c r="K378" s="75">
        <v>1</v>
      </c>
      <c r="M378" s="14"/>
      <c r="N378" s="17"/>
    </row>
    <row r="379" spans="1:14" ht="12.75">
      <c r="A379" s="17"/>
      <c r="D379" s="143" t="s">
        <v>738</v>
      </c>
      <c r="E379" s="144"/>
      <c r="F379" s="144"/>
      <c r="G379" s="144"/>
      <c r="H379" s="144"/>
      <c r="I379" s="144"/>
      <c r="K379" s="75">
        <v>1</v>
      </c>
      <c r="M379" s="14"/>
      <c r="N379" s="17"/>
    </row>
    <row r="380" spans="1:14" ht="12.75">
      <c r="A380" s="17"/>
      <c r="D380" s="143" t="s">
        <v>739</v>
      </c>
      <c r="E380" s="144"/>
      <c r="F380" s="144"/>
      <c r="G380" s="144"/>
      <c r="H380" s="144"/>
      <c r="I380" s="144"/>
      <c r="K380" s="75">
        <v>1</v>
      </c>
      <c r="M380" s="14"/>
      <c r="N380" s="17"/>
    </row>
    <row r="381" spans="1:64" ht="12.75">
      <c r="A381" s="38" t="s">
        <v>157</v>
      </c>
      <c r="B381" s="45" t="s">
        <v>61</v>
      </c>
      <c r="C381" s="45" t="s">
        <v>341</v>
      </c>
      <c r="D381" s="141" t="s">
        <v>735</v>
      </c>
      <c r="E381" s="142"/>
      <c r="F381" s="142"/>
      <c r="G381" s="142"/>
      <c r="H381" s="142"/>
      <c r="I381" s="142"/>
      <c r="J381" s="45" t="s">
        <v>975</v>
      </c>
      <c r="K381" s="74">
        <v>1</v>
      </c>
      <c r="L381" s="53">
        <v>0</v>
      </c>
      <c r="M381" s="65">
        <f>K381*L381</f>
        <v>0</v>
      </c>
      <c r="N381" s="17"/>
      <c r="Z381" s="33">
        <f>IF(AQ381="5",BJ381,0)</f>
        <v>0</v>
      </c>
      <c r="AB381" s="33">
        <f>IF(AQ381="1",BH381,0)</f>
        <v>0</v>
      </c>
      <c r="AC381" s="33">
        <f>IF(AQ381="1",BI381,0)</f>
        <v>0</v>
      </c>
      <c r="AD381" s="33">
        <f>IF(AQ381="7",BH381,0)</f>
        <v>0</v>
      </c>
      <c r="AE381" s="33">
        <f>IF(AQ381="7",BI381,0)</f>
        <v>0</v>
      </c>
      <c r="AF381" s="33">
        <f>IF(AQ381="2",BH381,0)</f>
        <v>0</v>
      </c>
      <c r="AG381" s="33">
        <f>IF(AQ381="2",BI381,0)</f>
        <v>0</v>
      </c>
      <c r="AH381" s="33">
        <f>IF(AQ381="0",BJ381,0)</f>
        <v>0</v>
      </c>
      <c r="AI381" s="58" t="s">
        <v>61</v>
      </c>
      <c r="AJ381" s="53">
        <f>IF(AN381=0,M381,0)</f>
        <v>0</v>
      </c>
      <c r="AK381" s="53">
        <f>IF(AN381=15,M381,0)</f>
        <v>0</v>
      </c>
      <c r="AL381" s="53">
        <f>IF(AN381=21,M381,0)</f>
        <v>0</v>
      </c>
      <c r="AN381" s="33">
        <v>21</v>
      </c>
      <c r="AO381" s="33">
        <f>L381*0.933087494273935</f>
        <v>0</v>
      </c>
      <c r="AP381" s="33">
        <f>L381*(1-0.933087494273935)</f>
        <v>0</v>
      </c>
      <c r="AQ381" s="59" t="s">
        <v>80</v>
      </c>
      <c r="AV381" s="33">
        <f>AW381+AX381</f>
        <v>0</v>
      </c>
      <c r="AW381" s="33">
        <f>K381*AO381</f>
        <v>0</v>
      </c>
      <c r="AX381" s="33">
        <f>K381*AP381</f>
        <v>0</v>
      </c>
      <c r="AY381" s="61" t="s">
        <v>1004</v>
      </c>
      <c r="AZ381" s="61" t="s">
        <v>1025</v>
      </c>
      <c r="BA381" s="58" t="s">
        <v>1037</v>
      </c>
      <c r="BC381" s="33">
        <f>AW381+AX381</f>
        <v>0</v>
      </c>
      <c r="BD381" s="33">
        <f>L381/(100-BE381)*100</f>
        <v>0</v>
      </c>
      <c r="BE381" s="33">
        <v>0</v>
      </c>
      <c r="BF381" s="33">
        <f>381</f>
        <v>381</v>
      </c>
      <c r="BH381" s="53">
        <f>K381*AO381</f>
        <v>0</v>
      </c>
      <c r="BI381" s="53">
        <f>K381*AP381</f>
        <v>0</v>
      </c>
      <c r="BJ381" s="53">
        <f>K381*L381</f>
        <v>0</v>
      </c>
      <c r="BK381" s="53" t="s">
        <v>1046</v>
      </c>
      <c r="BL381" s="33">
        <v>89</v>
      </c>
    </row>
    <row r="382" spans="1:14" ht="12.75">
      <c r="A382" s="17"/>
      <c r="C382" s="48" t="s">
        <v>269</v>
      </c>
      <c r="D382" s="145" t="s">
        <v>727</v>
      </c>
      <c r="E382" s="146"/>
      <c r="F382" s="146"/>
      <c r="G382" s="146"/>
      <c r="H382" s="146"/>
      <c r="I382" s="146"/>
      <c r="J382" s="146"/>
      <c r="K382" s="146"/>
      <c r="L382" s="146"/>
      <c r="M382" s="147"/>
      <c r="N382" s="17"/>
    </row>
    <row r="383" spans="1:14" ht="12.75">
      <c r="A383" s="17"/>
      <c r="D383" s="143" t="s">
        <v>740</v>
      </c>
      <c r="E383" s="144"/>
      <c r="F383" s="144"/>
      <c r="G383" s="144"/>
      <c r="H383" s="144"/>
      <c r="I383" s="144"/>
      <c r="K383" s="75">
        <v>1</v>
      </c>
      <c r="M383" s="14"/>
      <c r="N383" s="17"/>
    </row>
    <row r="384" spans="1:64" ht="12.75">
      <c r="A384" s="38" t="s">
        <v>158</v>
      </c>
      <c r="B384" s="45" t="s">
        <v>61</v>
      </c>
      <c r="C384" s="45" t="s">
        <v>342</v>
      </c>
      <c r="D384" s="141" t="s">
        <v>735</v>
      </c>
      <c r="E384" s="142"/>
      <c r="F384" s="142"/>
      <c r="G384" s="142"/>
      <c r="H384" s="142"/>
      <c r="I384" s="142"/>
      <c r="J384" s="45" t="s">
        <v>975</v>
      </c>
      <c r="K384" s="74">
        <v>1</v>
      </c>
      <c r="L384" s="53">
        <v>0</v>
      </c>
      <c r="M384" s="65">
        <f>K384*L384</f>
        <v>0</v>
      </c>
      <c r="N384" s="17"/>
      <c r="Z384" s="33">
        <f>IF(AQ384="5",BJ384,0)</f>
        <v>0</v>
      </c>
      <c r="AB384" s="33">
        <f>IF(AQ384="1",BH384,0)</f>
        <v>0</v>
      </c>
      <c r="AC384" s="33">
        <f>IF(AQ384="1",BI384,0)</f>
        <v>0</v>
      </c>
      <c r="AD384" s="33">
        <f>IF(AQ384="7",BH384,0)</f>
        <v>0</v>
      </c>
      <c r="AE384" s="33">
        <f>IF(AQ384="7",BI384,0)</f>
        <v>0</v>
      </c>
      <c r="AF384" s="33">
        <f>IF(AQ384="2",BH384,0)</f>
        <v>0</v>
      </c>
      <c r="AG384" s="33">
        <f>IF(AQ384="2",BI384,0)</f>
        <v>0</v>
      </c>
      <c r="AH384" s="33">
        <f>IF(AQ384="0",BJ384,0)</f>
        <v>0</v>
      </c>
      <c r="AI384" s="58" t="s">
        <v>61</v>
      </c>
      <c r="AJ384" s="53">
        <f>IF(AN384=0,M384,0)</f>
        <v>0</v>
      </c>
      <c r="AK384" s="53">
        <f>IF(AN384=15,M384,0)</f>
        <v>0</v>
      </c>
      <c r="AL384" s="53">
        <f>IF(AN384=21,M384,0)</f>
        <v>0</v>
      </c>
      <c r="AN384" s="33">
        <v>21</v>
      </c>
      <c r="AO384" s="33">
        <f>L384*0.936074398249453</f>
        <v>0</v>
      </c>
      <c r="AP384" s="33">
        <f>L384*(1-0.936074398249453)</f>
        <v>0</v>
      </c>
      <c r="AQ384" s="59" t="s">
        <v>80</v>
      </c>
      <c r="AV384" s="33">
        <f>AW384+AX384</f>
        <v>0</v>
      </c>
      <c r="AW384" s="33">
        <f>K384*AO384</f>
        <v>0</v>
      </c>
      <c r="AX384" s="33">
        <f>K384*AP384</f>
        <v>0</v>
      </c>
      <c r="AY384" s="61" t="s">
        <v>1004</v>
      </c>
      <c r="AZ384" s="61" t="s">
        <v>1025</v>
      </c>
      <c r="BA384" s="58" t="s">
        <v>1037</v>
      </c>
      <c r="BC384" s="33">
        <f>AW384+AX384</f>
        <v>0</v>
      </c>
      <c r="BD384" s="33">
        <f>L384/(100-BE384)*100</f>
        <v>0</v>
      </c>
      <c r="BE384" s="33">
        <v>0</v>
      </c>
      <c r="BF384" s="33">
        <f>384</f>
        <v>384</v>
      </c>
      <c r="BH384" s="53">
        <f>K384*AO384</f>
        <v>0</v>
      </c>
      <c r="BI384" s="53">
        <f>K384*AP384</f>
        <v>0</v>
      </c>
      <c r="BJ384" s="53">
        <f>K384*L384</f>
        <v>0</v>
      </c>
      <c r="BK384" s="53" t="s">
        <v>1046</v>
      </c>
      <c r="BL384" s="33">
        <v>89</v>
      </c>
    </row>
    <row r="385" spans="1:14" ht="12.75">
      <c r="A385" s="17"/>
      <c r="C385" s="48" t="s">
        <v>269</v>
      </c>
      <c r="D385" s="145" t="s">
        <v>741</v>
      </c>
      <c r="E385" s="146"/>
      <c r="F385" s="146"/>
      <c r="G385" s="146"/>
      <c r="H385" s="146"/>
      <c r="I385" s="146"/>
      <c r="J385" s="146"/>
      <c r="K385" s="146"/>
      <c r="L385" s="146"/>
      <c r="M385" s="147"/>
      <c r="N385" s="17"/>
    </row>
    <row r="386" spans="1:14" ht="12.75">
      <c r="A386" s="17"/>
      <c r="D386" s="143" t="s">
        <v>742</v>
      </c>
      <c r="E386" s="144"/>
      <c r="F386" s="144"/>
      <c r="G386" s="144"/>
      <c r="H386" s="144"/>
      <c r="I386" s="144"/>
      <c r="K386" s="75">
        <v>1</v>
      </c>
      <c r="M386" s="14"/>
      <c r="N386" s="17"/>
    </row>
    <row r="387" spans="1:64" ht="12.75">
      <c r="A387" s="38" t="s">
        <v>159</v>
      </c>
      <c r="B387" s="45" t="s">
        <v>61</v>
      </c>
      <c r="C387" s="45" t="s">
        <v>343</v>
      </c>
      <c r="D387" s="141" t="s">
        <v>743</v>
      </c>
      <c r="E387" s="142"/>
      <c r="F387" s="142"/>
      <c r="G387" s="142"/>
      <c r="H387" s="142"/>
      <c r="I387" s="142"/>
      <c r="J387" s="45" t="s">
        <v>975</v>
      </c>
      <c r="K387" s="74">
        <v>1</v>
      </c>
      <c r="L387" s="53">
        <v>0</v>
      </c>
      <c r="M387" s="65">
        <f>K387*L387</f>
        <v>0</v>
      </c>
      <c r="N387" s="17"/>
      <c r="Z387" s="33">
        <f>IF(AQ387="5",BJ387,0)</f>
        <v>0</v>
      </c>
      <c r="AB387" s="33">
        <f>IF(AQ387="1",BH387,0)</f>
        <v>0</v>
      </c>
      <c r="AC387" s="33">
        <f>IF(AQ387="1",BI387,0)</f>
        <v>0</v>
      </c>
      <c r="AD387" s="33">
        <f>IF(AQ387="7",BH387,0)</f>
        <v>0</v>
      </c>
      <c r="AE387" s="33">
        <f>IF(AQ387="7",BI387,0)</f>
        <v>0</v>
      </c>
      <c r="AF387" s="33">
        <f>IF(AQ387="2",BH387,0)</f>
        <v>0</v>
      </c>
      <c r="AG387" s="33">
        <f>IF(AQ387="2",BI387,0)</f>
        <v>0</v>
      </c>
      <c r="AH387" s="33">
        <f>IF(AQ387="0",BJ387,0)</f>
        <v>0</v>
      </c>
      <c r="AI387" s="58" t="s">
        <v>61</v>
      </c>
      <c r="AJ387" s="53">
        <f>IF(AN387=0,M387,0)</f>
        <v>0</v>
      </c>
      <c r="AK387" s="53">
        <f>IF(AN387=15,M387,0)</f>
        <v>0</v>
      </c>
      <c r="AL387" s="53">
        <f>IF(AN387=21,M387,0)</f>
        <v>0</v>
      </c>
      <c r="AN387" s="33">
        <v>21</v>
      </c>
      <c r="AO387" s="33">
        <f>L387*0.969789325842697</f>
        <v>0</v>
      </c>
      <c r="AP387" s="33">
        <f>L387*(1-0.969789325842697)</f>
        <v>0</v>
      </c>
      <c r="AQ387" s="59" t="s">
        <v>80</v>
      </c>
      <c r="AV387" s="33">
        <f>AW387+AX387</f>
        <v>0</v>
      </c>
      <c r="AW387" s="33">
        <f>K387*AO387</f>
        <v>0</v>
      </c>
      <c r="AX387" s="33">
        <f>K387*AP387</f>
        <v>0</v>
      </c>
      <c r="AY387" s="61" t="s">
        <v>1004</v>
      </c>
      <c r="AZ387" s="61" t="s">
        <v>1025</v>
      </c>
      <c r="BA387" s="58" t="s">
        <v>1037</v>
      </c>
      <c r="BC387" s="33">
        <f>AW387+AX387</f>
        <v>0</v>
      </c>
      <c r="BD387" s="33">
        <f>L387/(100-BE387)*100</f>
        <v>0</v>
      </c>
      <c r="BE387" s="33">
        <v>0</v>
      </c>
      <c r="BF387" s="33">
        <f>387</f>
        <v>387</v>
      </c>
      <c r="BH387" s="53">
        <f>K387*AO387</f>
        <v>0</v>
      </c>
      <c r="BI387" s="53">
        <f>K387*AP387</f>
        <v>0</v>
      </c>
      <c r="BJ387" s="53">
        <f>K387*L387</f>
        <v>0</v>
      </c>
      <c r="BK387" s="53" t="s">
        <v>1046</v>
      </c>
      <c r="BL387" s="33">
        <v>89</v>
      </c>
    </row>
    <row r="388" spans="1:14" ht="12.75">
      <c r="A388" s="17"/>
      <c r="C388" s="48" t="s">
        <v>269</v>
      </c>
      <c r="D388" s="145" t="s">
        <v>744</v>
      </c>
      <c r="E388" s="146"/>
      <c r="F388" s="146"/>
      <c r="G388" s="146"/>
      <c r="H388" s="146"/>
      <c r="I388" s="146"/>
      <c r="J388" s="146"/>
      <c r="K388" s="146"/>
      <c r="L388" s="146"/>
      <c r="M388" s="147"/>
      <c r="N388" s="17"/>
    </row>
    <row r="389" spans="1:14" ht="12.75">
      <c r="A389" s="17"/>
      <c r="D389" s="143" t="s">
        <v>745</v>
      </c>
      <c r="E389" s="144"/>
      <c r="F389" s="144"/>
      <c r="G389" s="144"/>
      <c r="H389" s="144"/>
      <c r="I389" s="144"/>
      <c r="K389" s="75">
        <v>1</v>
      </c>
      <c r="M389" s="14"/>
      <c r="N389" s="17"/>
    </row>
    <row r="390" spans="1:64" ht="12.75">
      <c r="A390" s="38" t="s">
        <v>160</v>
      </c>
      <c r="B390" s="45" t="s">
        <v>61</v>
      </c>
      <c r="C390" s="45" t="s">
        <v>344</v>
      </c>
      <c r="D390" s="141" t="s">
        <v>746</v>
      </c>
      <c r="E390" s="142"/>
      <c r="F390" s="142"/>
      <c r="G390" s="142"/>
      <c r="H390" s="142"/>
      <c r="I390" s="142"/>
      <c r="J390" s="45" t="s">
        <v>975</v>
      </c>
      <c r="K390" s="74">
        <v>1</v>
      </c>
      <c r="L390" s="53">
        <v>0</v>
      </c>
      <c r="M390" s="65">
        <f>K390*L390</f>
        <v>0</v>
      </c>
      <c r="N390" s="17"/>
      <c r="Z390" s="33">
        <f>IF(AQ390="5",BJ390,0)</f>
        <v>0</v>
      </c>
      <c r="AB390" s="33">
        <f>IF(AQ390="1",BH390,0)</f>
        <v>0</v>
      </c>
      <c r="AC390" s="33">
        <f>IF(AQ390="1",BI390,0)</f>
        <v>0</v>
      </c>
      <c r="AD390" s="33">
        <f>IF(AQ390="7",BH390,0)</f>
        <v>0</v>
      </c>
      <c r="AE390" s="33">
        <f>IF(AQ390="7",BI390,0)</f>
        <v>0</v>
      </c>
      <c r="AF390" s="33">
        <f>IF(AQ390="2",BH390,0)</f>
        <v>0</v>
      </c>
      <c r="AG390" s="33">
        <f>IF(AQ390="2",BI390,0)</f>
        <v>0</v>
      </c>
      <c r="AH390" s="33">
        <f>IF(AQ390="0",BJ390,0)</f>
        <v>0</v>
      </c>
      <c r="AI390" s="58" t="s">
        <v>61</v>
      </c>
      <c r="AJ390" s="53">
        <f>IF(AN390=0,M390,0)</f>
        <v>0</v>
      </c>
      <c r="AK390" s="53">
        <f>IF(AN390=15,M390,0)</f>
        <v>0</v>
      </c>
      <c r="AL390" s="53">
        <f>IF(AN390=21,M390,0)</f>
        <v>0</v>
      </c>
      <c r="AN390" s="33">
        <v>21</v>
      </c>
      <c r="AO390" s="33">
        <f>L390*0.0197142857142857</f>
        <v>0</v>
      </c>
      <c r="AP390" s="33">
        <f>L390*(1-0.0197142857142857)</f>
        <v>0</v>
      </c>
      <c r="AQ390" s="59" t="s">
        <v>80</v>
      </c>
      <c r="AV390" s="33">
        <f>AW390+AX390</f>
        <v>0</v>
      </c>
      <c r="AW390" s="33">
        <f>K390*AO390</f>
        <v>0</v>
      </c>
      <c r="AX390" s="33">
        <f>K390*AP390</f>
        <v>0</v>
      </c>
      <c r="AY390" s="61" t="s">
        <v>1004</v>
      </c>
      <c r="AZ390" s="61" t="s">
        <v>1025</v>
      </c>
      <c r="BA390" s="58" t="s">
        <v>1037</v>
      </c>
      <c r="BC390" s="33">
        <f>AW390+AX390</f>
        <v>0</v>
      </c>
      <c r="BD390" s="33">
        <f>L390/(100-BE390)*100</f>
        <v>0</v>
      </c>
      <c r="BE390" s="33">
        <v>0</v>
      </c>
      <c r="BF390" s="33">
        <f>390</f>
        <v>390</v>
      </c>
      <c r="BH390" s="53">
        <f>K390*AO390</f>
        <v>0</v>
      </c>
      <c r="BI390" s="53">
        <f>K390*AP390</f>
        <v>0</v>
      </c>
      <c r="BJ390" s="53">
        <f>K390*L390</f>
        <v>0</v>
      </c>
      <c r="BK390" s="53" t="s">
        <v>1046</v>
      </c>
      <c r="BL390" s="33">
        <v>89</v>
      </c>
    </row>
    <row r="391" spans="1:14" ht="12.75">
      <c r="A391" s="17"/>
      <c r="D391" s="143" t="s">
        <v>712</v>
      </c>
      <c r="E391" s="144"/>
      <c r="F391" s="144"/>
      <c r="G391" s="144"/>
      <c r="H391" s="144"/>
      <c r="I391" s="144"/>
      <c r="K391" s="75">
        <v>1</v>
      </c>
      <c r="M391" s="14"/>
      <c r="N391" s="17"/>
    </row>
    <row r="392" spans="1:64" ht="12.75">
      <c r="A392" s="39" t="s">
        <v>161</v>
      </c>
      <c r="B392" s="46" t="s">
        <v>61</v>
      </c>
      <c r="C392" s="46" t="s">
        <v>345</v>
      </c>
      <c r="D392" s="148" t="s">
        <v>747</v>
      </c>
      <c r="E392" s="149"/>
      <c r="F392" s="149"/>
      <c r="G392" s="149"/>
      <c r="H392" s="149"/>
      <c r="I392" s="149"/>
      <c r="J392" s="46" t="s">
        <v>975</v>
      </c>
      <c r="K392" s="78">
        <v>1</v>
      </c>
      <c r="L392" s="54">
        <v>0</v>
      </c>
      <c r="M392" s="66">
        <f>K392*L392</f>
        <v>0</v>
      </c>
      <c r="N392" s="17"/>
      <c r="Z392" s="33">
        <f>IF(AQ392="5",BJ392,0)</f>
        <v>0</v>
      </c>
      <c r="AB392" s="33">
        <f>IF(AQ392="1",BH392,0)</f>
        <v>0</v>
      </c>
      <c r="AC392" s="33">
        <f>IF(AQ392="1",BI392,0)</f>
        <v>0</v>
      </c>
      <c r="AD392" s="33">
        <f>IF(AQ392="7",BH392,0)</f>
        <v>0</v>
      </c>
      <c r="AE392" s="33">
        <f>IF(AQ392="7",BI392,0)</f>
        <v>0</v>
      </c>
      <c r="AF392" s="33">
        <f>IF(AQ392="2",BH392,0)</f>
        <v>0</v>
      </c>
      <c r="AG392" s="33">
        <f>IF(AQ392="2",BI392,0)</f>
        <v>0</v>
      </c>
      <c r="AH392" s="33">
        <f>IF(AQ392="0",BJ392,0)</f>
        <v>0</v>
      </c>
      <c r="AI392" s="58" t="s">
        <v>61</v>
      </c>
      <c r="AJ392" s="54">
        <f>IF(AN392=0,M392,0)</f>
        <v>0</v>
      </c>
      <c r="AK392" s="54">
        <f>IF(AN392=15,M392,0)</f>
        <v>0</v>
      </c>
      <c r="AL392" s="54">
        <f>IF(AN392=21,M392,0)</f>
        <v>0</v>
      </c>
      <c r="AN392" s="33">
        <v>21</v>
      </c>
      <c r="AO392" s="33">
        <f>L392*1</f>
        <v>0</v>
      </c>
      <c r="AP392" s="33">
        <f>L392*(1-1)</f>
        <v>0</v>
      </c>
      <c r="AQ392" s="60" t="s">
        <v>80</v>
      </c>
      <c r="AV392" s="33">
        <f>AW392+AX392</f>
        <v>0</v>
      </c>
      <c r="AW392" s="33">
        <f>K392*AO392</f>
        <v>0</v>
      </c>
      <c r="AX392" s="33">
        <f>K392*AP392</f>
        <v>0</v>
      </c>
      <c r="AY392" s="61" t="s">
        <v>1004</v>
      </c>
      <c r="AZ392" s="61" t="s">
        <v>1025</v>
      </c>
      <c r="BA392" s="58" t="s">
        <v>1037</v>
      </c>
      <c r="BC392" s="33">
        <f>AW392+AX392</f>
        <v>0</v>
      </c>
      <c r="BD392" s="33">
        <f>L392/(100-BE392)*100</f>
        <v>0</v>
      </c>
      <c r="BE392" s="33">
        <v>0</v>
      </c>
      <c r="BF392" s="33">
        <f>392</f>
        <v>392</v>
      </c>
      <c r="BH392" s="54">
        <f>K392*AO392</f>
        <v>0</v>
      </c>
      <c r="BI392" s="54">
        <f>K392*AP392</f>
        <v>0</v>
      </c>
      <c r="BJ392" s="54">
        <f>K392*L392</f>
        <v>0</v>
      </c>
      <c r="BK392" s="54" t="s">
        <v>1047</v>
      </c>
      <c r="BL392" s="33">
        <v>89</v>
      </c>
    </row>
    <row r="393" spans="1:14" ht="12.75">
      <c r="A393" s="17"/>
      <c r="D393" s="143" t="s">
        <v>663</v>
      </c>
      <c r="E393" s="144"/>
      <c r="F393" s="144"/>
      <c r="G393" s="144"/>
      <c r="H393" s="144"/>
      <c r="I393" s="144"/>
      <c r="K393" s="75">
        <v>1</v>
      </c>
      <c r="M393" s="14"/>
      <c r="N393" s="17"/>
    </row>
    <row r="394" spans="1:64" ht="12.75">
      <c r="A394" s="38" t="s">
        <v>162</v>
      </c>
      <c r="B394" s="45" t="s">
        <v>61</v>
      </c>
      <c r="C394" s="45" t="s">
        <v>346</v>
      </c>
      <c r="D394" s="141" t="s">
        <v>748</v>
      </c>
      <c r="E394" s="142"/>
      <c r="F394" s="142"/>
      <c r="G394" s="142"/>
      <c r="H394" s="142"/>
      <c r="I394" s="142"/>
      <c r="J394" s="45" t="s">
        <v>976</v>
      </c>
      <c r="K394" s="74">
        <v>1</v>
      </c>
      <c r="L394" s="53">
        <v>0</v>
      </c>
      <c r="M394" s="65">
        <f>K394*L394</f>
        <v>0</v>
      </c>
      <c r="N394" s="17"/>
      <c r="Z394" s="33">
        <f>IF(AQ394="5",BJ394,0)</f>
        <v>0</v>
      </c>
      <c r="AB394" s="33">
        <f>IF(AQ394="1",BH394,0)</f>
        <v>0</v>
      </c>
      <c r="AC394" s="33">
        <f>IF(AQ394="1",BI394,0)</f>
        <v>0</v>
      </c>
      <c r="AD394" s="33">
        <f>IF(AQ394="7",BH394,0)</f>
        <v>0</v>
      </c>
      <c r="AE394" s="33">
        <f>IF(AQ394="7",BI394,0)</f>
        <v>0</v>
      </c>
      <c r="AF394" s="33">
        <f>IF(AQ394="2",BH394,0)</f>
        <v>0</v>
      </c>
      <c r="AG394" s="33">
        <f>IF(AQ394="2",BI394,0)</f>
        <v>0</v>
      </c>
      <c r="AH394" s="33">
        <f>IF(AQ394="0",BJ394,0)</f>
        <v>0</v>
      </c>
      <c r="AI394" s="58" t="s">
        <v>61</v>
      </c>
      <c r="AJ394" s="53">
        <f>IF(AN394=0,M394,0)</f>
        <v>0</v>
      </c>
      <c r="AK394" s="53">
        <f>IF(AN394=15,M394,0)</f>
        <v>0</v>
      </c>
      <c r="AL394" s="53">
        <f>IF(AN394=21,M394,0)</f>
        <v>0</v>
      </c>
      <c r="AN394" s="33">
        <v>21</v>
      </c>
      <c r="AO394" s="33">
        <f>L394*0.530612244897959</f>
        <v>0</v>
      </c>
      <c r="AP394" s="33">
        <f>L394*(1-0.530612244897959)</f>
        <v>0</v>
      </c>
      <c r="AQ394" s="59" t="s">
        <v>80</v>
      </c>
      <c r="AV394" s="33">
        <f>AW394+AX394</f>
        <v>0</v>
      </c>
      <c r="AW394" s="33">
        <f>K394*AO394</f>
        <v>0</v>
      </c>
      <c r="AX394" s="33">
        <f>K394*AP394</f>
        <v>0</v>
      </c>
      <c r="AY394" s="61" t="s">
        <v>1004</v>
      </c>
      <c r="AZ394" s="61" t="s">
        <v>1025</v>
      </c>
      <c r="BA394" s="58" t="s">
        <v>1037</v>
      </c>
      <c r="BC394" s="33">
        <f>AW394+AX394</f>
        <v>0</v>
      </c>
      <c r="BD394" s="33">
        <f>L394/(100-BE394)*100</f>
        <v>0</v>
      </c>
      <c r="BE394" s="33">
        <v>0</v>
      </c>
      <c r="BF394" s="33">
        <f>394</f>
        <v>394</v>
      </c>
      <c r="BH394" s="53">
        <f>K394*AO394</f>
        <v>0</v>
      </c>
      <c r="BI394" s="53">
        <f>K394*AP394</f>
        <v>0</v>
      </c>
      <c r="BJ394" s="53">
        <f>K394*L394</f>
        <v>0</v>
      </c>
      <c r="BK394" s="53" t="s">
        <v>1046</v>
      </c>
      <c r="BL394" s="33">
        <v>89</v>
      </c>
    </row>
    <row r="395" spans="1:14" ht="12.75">
      <c r="A395" s="17"/>
      <c r="D395" s="143" t="s">
        <v>663</v>
      </c>
      <c r="E395" s="144"/>
      <c r="F395" s="144"/>
      <c r="G395" s="144"/>
      <c r="H395" s="144"/>
      <c r="I395" s="144"/>
      <c r="K395" s="75">
        <v>1</v>
      </c>
      <c r="M395" s="14"/>
      <c r="N395" s="17"/>
    </row>
    <row r="396" spans="1:64" ht="12.75">
      <c r="A396" s="38" t="s">
        <v>163</v>
      </c>
      <c r="B396" s="45" t="s">
        <v>61</v>
      </c>
      <c r="C396" s="45" t="s">
        <v>347</v>
      </c>
      <c r="D396" s="141" t="s">
        <v>749</v>
      </c>
      <c r="E396" s="142"/>
      <c r="F396" s="142"/>
      <c r="G396" s="142"/>
      <c r="H396" s="142"/>
      <c r="I396" s="142"/>
      <c r="J396" s="45" t="s">
        <v>977</v>
      </c>
      <c r="K396" s="74">
        <v>60</v>
      </c>
      <c r="L396" s="53">
        <v>0</v>
      </c>
      <c r="M396" s="65">
        <f>K396*L396</f>
        <v>0</v>
      </c>
      <c r="N396" s="17"/>
      <c r="Z396" s="33">
        <f>IF(AQ396="5",BJ396,0)</f>
        <v>0</v>
      </c>
      <c r="AB396" s="33">
        <f>IF(AQ396="1",BH396,0)</f>
        <v>0</v>
      </c>
      <c r="AC396" s="33">
        <f>IF(AQ396="1",BI396,0)</f>
        <v>0</v>
      </c>
      <c r="AD396" s="33">
        <f>IF(AQ396="7",BH396,0)</f>
        <v>0</v>
      </c>
      <c r="AE396" s="33">
        <f>IF(AQ396="7",BI396,0)</f>
        <v>0</v>
      </c>
      <c r="AF396" s="33">
        <f>IF(AQ396="2",BH396,0)</f>
        <v>0</v>
      </c>
      <c r="AG396" s="33">
        <f>IF(AQ396="2",BI396,0)</f>
        <v>0</v>
      </c>
      <c r="AH396" s="33">
        <f>IF(AQ396="0",BJ396,0)</f>
        <v>0</v>
      </c>
      <c r="AI396" s="58" t="s">
        <v>61</v>
      </c>
      <c r="AJ396" s="53">
        <f>IF(AN396=0,M396,0)</f>
        <v>0</v>
      </c>
      <c r="AK396" s="53">
        <f>IF(AN396=15,M396,0)</f>
        <v>0</v>
      </c>
      <c r="AL396" s="53">
        <f>IF(AN396=21,M396,0)</f>
        <v>0</v>
      </c>
      <c r="AN396" s="33">
        <v>21</v>
      </c>
      <c r="AO396" s="33">
        <f>L396*0</f>
        <v>0</v>
      </c>
      <c r="AP396" s="33">
        <f>L396*(1-0)</f>
        <v>0</v>
      </c>
      <c r="AQ396" s="59" t="s">
        <v>80</v>
      </c>
      <c r="AV396" s="33">
        <f>AW396+AX396</f>
        <v>0</v>
      </c>
      <c r="AW396" s="33">
        <f>K396*AO396</f>
        <v>0</v>
      </c>
      <c r="AX396" s="33">
        <f>K396*AP396</f>
        <v>0</v>
      </c>
      <c r="AY396" s="61" t="s">
        <v>1004</v>
      </c>
      <c r="AZ396" s="61" t="s">
        <v>1025</v>
      </c>
      <c r="BA396" s="58" t="s">
        <v>1037</v>
      </c>
      <c r="BC396" s="33">
        <f>AW396+AX396</f>
        <v>0</v>
      </c>
      <c r="BD396" s="33">
        <f>L396/(100-BE396)*100</f>
        <v>0</v>
      </c>
      <c r="BE396" s="33">
        <v>0</v>
      </c>
      <c r="BF396" s="33">
        <f>396</f>
        <v>396</v>
      </c>
      <c r="BH396" s="53">
        <f>K396*AO396</f>
        <v>0</v>
      </c>
      <c r="BI396" s="53">
        <f>K396*AP396</f>
        <v>0</v>
      </c>
      <c r="BJ396" s="53">
        <f>K396*L396</f>
        <v>0</v>
      </c>
      <c r="BK396" s="53" t="s">
        <v>1046</v>
      </c>
      <c r="BL396" s="33">
        <v>89</v>
      </c>
    </row>
    <row r="397" spans="1:14" ht="12.75">
      <c r="A397" s="17"/>
      <c r="D397" s="143" t="s">
        <v>750</v>
      </c>
      <c r="E397" s="144"/>
      <c r="F397" s="144"/>
      <c r="G397" s="144"/>
      <c r="H397" s="144"/>
      <c r="I397" s="144"/>
      <c r="K397" s="75">
        <v>60</v>
      </c>
      <c r="M397" s="14"/>
      <c r="N397" s="17"/>
    </row>
    <row r="398" spans="1:47" ht="12.75">
      <c r="A398" s="37"/>
      <c r="B398" s="44" t="s">
        <v>61</v>
      </c>
      <c r="C398" s="44" t="s">
        <v>348</v>
      </c>
      <c r="D398" s="139" t="s">
        <v>751</v>
      </c>
      <c r="E398" s="140"/>
      <c r="F398" s="140"/>
      <c r="G398" s="140"/>
      <c r="H398" s="140"/>
      <c r="I398" s="140"/>
      <c r="J398" s="50" t="s">
        <v>59</v>
      </c>
      <c r="K398" s="50" t="s">
        <v>59</v>
      </c>
      <c r="L398" s="50" t="s">
        <v>59</v>
      </c>
      <c r="M398" s="64">
        <f>SUM(M399:M399)</f>
        <v>0</v>
      </c>
      <c r="N398" s="17"/>
      <c r="AI398" s="58" t="s">
        <v>61</v>
      </c>
      <c r="AS398" s="68">
        <f>SUM(AJ399:AJ399)</f>
        <v>0</v>
      </c>
      <c r="AT398" s="68">
        <f>SUM(AK399:AK399)</f>
        <v>0</v>
      </c>
      <c r="AU398" s="68">
        <f>SUM(AL399:AL399)</f>
        <v>0</v>
      </c>
    </row>
    <row r="399" spans="1:64" ht="12.75">
      <c r="A399" s="38" t="s">
        <v>164</v>
      </c>
      <c r="B399" s="45" t="s">
        <v>61</v>
      </c>
      <c r="C399" s="45" t="s">
        <v>349</v>
      </c>
      <c r="D399" s="141" t="s">
        <v>752</v>
      </c>
      <c r="E399" s="142"/>
      <c r="F399" s="142"/>
      <c r="G399" s="142"/>
      <c r="H399" s="142"/>
      <c r="I399" s="142"/>
      <c r="J399" s="45" t="s">
        <v>971</v>
      </c>
      <c r="K399" s="74">
        <v>16</v>
      </c>
      <c r="L399" s="53">
        <v>0</v>
      </c>
      <c r="M399" s="65">
        <f>K399*L399</f>
        <v>0</v>
      </c>
      <c r="N399" s="17"/>
      <c r="Z399" s="33">
        <f>IF(AQ399="5",BJ399,0)</f>
        <v>0</v>
      </c>
      <c r="AB399" s="33">
        <f>IF(AQ399="1",BH399,0)</f>
        <v>0</v>
      </c>
      <c r="AC399" s="33">
        <f>IF(AQ399="1",BI399,0)</f>
        <v>0</v>
      </c>
      <c r="AD399" s="33">
        <f>IF(AQ399="7",BH399,0)</f>
        <v>0</v>
      </c>
      <c r="AE399" s="33">
        <f>IF(AQ399="7",BI399,0)</f>
        <v>0</v>
      </c>
      <c r="AF399" s="33">
        <f>IF(AQ399="2",BH399,0)</f>
        <v>0</v>
      </c>
      <c r="AG399" s="33">
        <f>IF(AQ399="2",BI399,0)</f>
        <v>0</v>
      </c>
      <c r="AH399" s="33">
        <f>IF(AQ399="0",BJ399,0)</f>
        <v>0</v>
      </c>
      <c r="AI399" s="58" t="s">
        <v>61</v>
      </c>
      <c r="AJ399" s="53">
        <f>IF(AN399=0,M399,0)</f>
        <v>0</v>
      </c>
      <c r="AK399" s="53">
        <f>IF(AN399=15,M399,0)</f>
        <v>0</v>
      </c>
      <c r="AL399" s="53">
        <f>IF(AN399=21,M399,0)</f>
        <v>0</v>
      </c>
      <c r="AN399" s="33">
        <v>21</v>
      </c>
      <c r="AO399" s="33">
        <f>L399*0</f>
        <v>0</v>
      </c>
      <c r="AP399" s="33">
        <f>L399*(1-0)</f>
        <v>0</v>
      </c>
      <c r="AQ399" s="59" t="s">
        <v>80</v>
      </c>
      <c r="AV399" s="33">
        <f>AW399+AX399</f>
        <v>0</v>
      </c>
      <c r="AW399" s="33">
        <f>K399*AO399</f>
        <v>0</v>
      </c>
      <c r="AX399" s="33">
        <f>K399*AP399</f>
        <v>0</v>
      </c>
      <c r="AY399" s="61" t="s">
        <v>1005</v>
      </c>
      <c r="AZ399" s="61" t="s">
        <v>1025</v>
      </c>
      <c r="BA399" s="58" t="s">
        <v>1037</v>
      </c>
      <c r="BC399" s="33">
        <f>AW399+AX399</f>
        <v>0</v>
      </c>
      <c r="BD399" s="33">
        <f>L399/(100-BE399)*100</f>
        <v>0</v>
      </c>
      <c r="BE399" s="33">
        <v>0</v>
      </c>
      <c r="BF399" s="33">
        <f>399</f>
        <v>399</v>
      </c>
      <c r="BH399" s="53">
        <f>K399*AO399</f>
        <v>0</v>
      </c>
      <c r="BI399" s="53">
        <f>K399*AP399</f>
        <v>0</v>
      </c>
      <c r="BJ399" s="53">
        <f>K399*L399</f>
        <v>0</v>
      </c>
      <c r="BK399" s="53" t="s">
        <v>1046</v>
      </c>
      <c r="BL399" s="33">
        <v>892</v>
      </c>
    </row>
    <row r="400" spans="1:14" ht="12.75">
      <c r="A400" s="17"/>
      <c r="D400" s="143" t="s">
        <v>753</v>
      </c>
      <c r="E400" s="144"/>
      <c r="F400" s="144"/>
      <c r="G400" s="144"/>
      <c r="H400" s="144"/>
      <c r="I400" s="144"/>
      <c r="K400" s="75">
        <v>6</v>
      </c>
      <c r="M400" s="14"/>
      <c r="N400" s="17"/>
    </row>
    <row r="401" spans="1:14" ht="12.75">
      <c r="A401" s="17"/>
      <c r="D401" s="143" t="s">
        <v>754</v>
      </c>
      <c r="E401" s="144"/>
      <c r="F401" s="144"/>
      <c r="G401" s="144"/>
      <c r="H401" s="144"/>
      <c r="I401" s="144"/>
      <c r="K401" s="75">
        <v>6</v>
      </c>
      <c r="M401" s="14"/>
      <c r="N401" s="17"/>
    </row>
    <row r="402" spans="1:14" ht="12.75">
      <c r="A402" s="17"/>
      <c r="D402" s="143" t="s">
        <v>755</v>
      </c>
      <c r="E402" s="144"/>
      <c r="F402" s="144"/>
      <c r="G402" s="144"/>
      <c r="H402" s="144"/>
      <c r="I402" s="144"/>
      <c r="K402" s="75">
        <v>4</v>
      </c>
      <c r="M402" s="14"/>
      <c r="N402" s="17"/>
    </row>
    <row r="403" spans="1:47" ht="12.75">
      <c r="A403" s="37"/>
      <c r="B403" s="44" t="s">
        <v>61</v>
      </c>
      <c r="C403" s="44" t="s">
        <v>350</v>
      </c>
      <c r="D403" s="139" t="s">
        <v>756</v>
      </c>
      <c r="E403" s="140"/>
      <c r="F403" s="140"/>
      <c r="G403" s="140"/>
      <c r="H403" s="140"/>
      <c r="I403" s="140"/>
      <c r="J403" s="50" t="s">
        <v>59</v>
      </c>
      <c r="K403" s="50" t="s">
        <v>59</v>
      </c>
      <c r="L403" s="50" t="s">
        <v>59</v>
      </c>
      <c r="M403" s="64">
        <f>SUM(M404:M404)</f>
        <v>0</v>
      </c>
      <c r="N403" s="17"/>
      <c r="AI403" s="58" t="s">
        <v>61</v>
      </c>
      <c r="AS403" s="68">
        <f>SUM(AJ404:AJ404)</f>
        <v>0</v>
      </c>
      <c r="AT403" s="68">
        <f>SUM(AK404:AK404)</f>
        <v>0</v>
      </c>
      <c r="AU403" s="68">
        <f>SUM(AL404:AL404)</f>
        <v>0</v>
      </c>
    </row>
    <row r="404" spans="1:64" ht="12.75">
      <c r="A404" s="38" t="s">
        <v>165</v>
      </c>
      <c r="B404" s="45" t="s">
        <v>61</v>
      </c>
      <c r="C404" s="45" t="s">
        <v>351</v>
      </c>
      <c r="D404" s="141" t="s">
        <v>757</v>
      </c>
      <c r="E404" s="142"/>
      <c r="F404" s="142"/>
      <c r="G404" s="142"/>
      <c r="H404" s="142"/>
      <c r="I404" s="142"/>
      <c r="J404" s="45" t="s">
        <v>968</v>
      </c>
      <c r="K404" s="74">
        <v>171.56</v>
      </c>
      <c r="L404" s="53">
        <v>0</v>
      </c>
      <c r="M404" s="65">
        <f>K404*L404</f>
        <v>0</v>
      </c>
      <c r="N404" s="17"/>
      <c r="Z404" s="33">
        <f>IF(AQ404="5",BJ404,0)</f>
        <v>0</v>
      </c>
      <c r="AB404" s="33">
        <f>IF(AQ404="1",BH404,0)</f>
        <v>0</v>
      </c>
      <c r="AC404" s="33">
        <f>IF(AQ404="1",BI404,0)</f>
        <v>0</v>
      </c>
      <c r="AD404" s="33">
        <f>IF(AQ404="7",BH404,0)</f>
        <v>0</v>
      </c>
      <c r="AE404" s="33">
        <f>IF(AQ404="7",BI404,0)</f>
        <v>0</v>
      </c>
      <c r="AF404" s="33">
        <f>IF(AQ404="2",BH404,0)</f>
        <v>0</v>
      </c>
      <c r="AG404" s="33">
        <f>IF(AQ404="2",BI404,0)</f>
        <v>0</v>
      </c>
      <c r="AH404" s="33">
        <f>IF(AQ404="0",BJ404,0)</f>
        <v>0</v>
      </c>
      <c r="AI404" s="58" t="s">
        <v>61</v>
      </c>
      <c r="AJ404" s="53">
        <f>IF(AN404=0,M404,0)</f>
        <v>0</v>
      </c>
      <c r="AK404" s="53">
        <f>IF(AN404=15,M404,0)</f>
        <v>0</v>
      </c>
      <c r="AL404" s="53">
        <f>IF(AN404=21,M404,0)</f>
        <v>0</v>
      </c>
      <c r="AN404" s="33">
        <v>21</v>
      </c>
      <c r="AO404" s="33">
        <f>L404*0</f>
        <v>0</v>
      </c>
      <c r="AP404" s="33">
        <f>L404*(1-0)</f>
        <v>0</v>
      </c>
      <c r="AQ404" s="59" t="s">
        <v>80</v>
      </c>
      <c r="AV404" s="33">
        <f>AW404+AX404</f>
        <v>0</v>
      </c>
      <c r="AW404" s="33">
        <f>K404*AO404</f>
        <v>0</v>
      </c>
      <c r="AX404" s="33">
        <f>K404*AP404</f>
        <v>0</v>
      </c>
      <c r="AY404" s="61" t="s">
        <v>1006</v>
      </c>
      <c r="AZ404" s="61" t="s">
        <v>1025</v>
      </c>
      <c r="BA404" s="58" t="s">
        <v>1037</v>
      </c>
      <c r="BC404" s="33">
        <f>AW404+AX404</f>
        <v>0</v>
      </c>
      <c r="BD404" s="33">
        <f>L404/(100-BE404)*100</f>
        <v>0</v>
      </c>
      <c r="BE404" s="33">
        <v>0</v>
      </c>
      <c r="BF404" s="33">
        <f>404</f>
        <v>404</v>
      </c>
      <c r="BH404" s="53">
        <f>K404*AO404</f>
        <v>0</v>
      </c>
      <c r="BI404" s="53">
        <f>K404*AP404</f>
        <v>0</v>
      </c>
      <c r="BJ404" s="53">
        <f>K404*L404</f>
        <v>0</v>
      </c>
      <c r="BK404" s="53" t="s">
        <v>1046</v>
      </c>
      <c r="BL404" s="33">
        <v>899</v>
      </c>
    </row>
    <row r="405" spans="1:14" ht="12.75">
      <c r="A405" s="17"/>
      <c r="D405" s="143" t="s">
        <v>758</v>
      </c>
      <c r="E405" s="144"/>
      <c r="F405" s="144"/>
      <c r="G405" s="144"/>
      <c r="H405" s="144"/>
      <c r="I405" s="144"/>
      <c r="K405" s="75">
        <v>67.46</v>
      </c>
      <c r="M405" s="14"/>
      <c r="N405" s="17"/>
    </row>
    <row r="406" spans="1:14" ht="12.75">
      <c r="A406" s="17"/>
      <c r="D406" s="143" t="s">
        <v>759</v>
      </c>
      <c r="E406" s="144"/>
      <c r="F406" s="144"/>
      <c r="G406" s="144"/>
      <c r="H406" s="144"/>
      <c r="I406" s="144"/>
      <c r="K406" s="75">
        <v>55.7</v>
      </c>
      <c r="M406" s="14"/>
      <c r="N406" s="17"/>
    </row>
    <row r="407" spans="1:14" ht="12.75">
      <c r="A407" s="17"/>
      <c r="D407" s="143" t="s">
        <v>760</v>
      </c>
      <c r="E407" s="144"/>
      <c r="F407" s="144"/>
      <c r="G407" s="144"/>
      <c r="H407" s="144"/>
      <c r="I407" s="144"/>
      <c r="K407" s="75">
        <v>48.4</v>
      </c>
      <c r="M407" s="14"/>
      <c r="N407" s="17"/>
    </row>
    <row r="408" spans="1:47" ht="12.75">
      <c r="A408" s="37"/>
      <c r="B408" s="44" t="s">
        <v>61</v>
      </c>
      <c r="C408" s="44" t="s">
        <v>170</v>
      </c>
      <c r="D408" s="139" t="s">
        <v>761</v>
      </c>
      <c r="E408" s="140"/>
      <c r="F408" s="140"/>
      <c r="G408" s="140"/>
      <c r="H408" s="140"/>
      <c r="I408" s="140"/>
      <c r="J408" s="50" t="s">
        <v>59</v>
      </c>
      <c r="K408" s="50" t="s">
        <v>59</v>
      </c>
      <c r="L408" s="50" t="s">
        <v>59</v>
      </c>
      <c r="M408" s="64">
        <f>SUM(M409:M418)</f>
        <v>0</v>
      </c>
      <c r="N408" s="17"/>
      <c r="AI408" s="58" t="s">
        <v>61</v>
      </c>
      <c r="AS408" s="68">
        <f>SUM(AJ409:AJ418)</f>
        <v>0</v>
      </c>
      <c r="AT408" s="68">
        <f>SUM(AK409:AK418)</f>
        <v>0</v>
      </c>
      <c r="AU408" s="68">
        <f>SUM(AL409:AL418)</f>
        <v>0</v>
      </c>
    </row>
    <row r="409" spans="1:64" ht="12.75">
      <c r="A409" s="38" t="s">
        <v>166</v>
      </c>
      <c r="B409" s="45" t="s">
        <v>61</v>
      </c>
      <c r="C409" s="45" t="s">
        <v>352</v>
      </c>
      <c r="D409" s="141" t="s">
        <v>762</v>
      </c>
      <c r="E409" s="142"/>
      <c r="F409" s="142"/>
      <c r="G409" s="142"/>
      <c r="H409" s="142"/>
      <c r="I409" s="142"/>
      <c r="J409" s="45" t="s">
        <v>968</v>
      </c>
      <c r="K409" s="74">
        <v>16</v>
      </c>
      <c r="L409" s="53">
        <v>0</v>
      </c>
      <c r="M409" s="65">
        <f>K409*L409</f>
        <v>0</v>
      </c>
      <c r="N409" s="17"/>
      <c r="Z409" s="33">
        <f>IF(AQ409="5",BJ409,0)</f>
        <v>0</v>
      </c>
      <c r="AB409" s="33">
        <f>IF(AQ409="1",BH409,0)</f>
        <v>0</v>
      </c>
      <c r="AC409" s="33">
        <f>IF(AQ409="1",BI409,0)</f>
        <v>0</v>
      </c>
      <c r="AD409" s="33">
        <f>IF(AQ409="7",BH409,0)</f>
        <v>0</v>
      </c>
      <c r="AE409" s="33">
        <f>IF(AQ409="7",BI409,0)</f>
        <v>0</v>
      </c>
      <c r="AF409" s="33">
        <f>IF(AQ409="2",BH409,0)</f>
        <v>0</v>
      </c>
      <c r="AG409" s="33">
        <f>IF(AQ409="2",BI409,0)</f>
        <v>0</v>
      </c>
      <c r="AH409" s="33">
        <f>IF(AQ409="0",BJ409,0)</f>
        <v>0</v>
      </c>
      <c r="AI409" s="58" t="s">
        <v>61</v>
      </c>
      <c r="AJ409" s="53">
        <f>IF(AN409=0,M409,0)</f>
        <v>0</v>
      </c>
      <c r="AK409" s="53">
        <f>IF(AN409=15,M409,0)</f>
        <v>0</v>
      </c>
      <c r="AL409" s="53">
        <f>IF(AN409=21,M409,0)</f>
        <v>0</v>
      </c>
      <c r="AN409" s="33">
        <v>21</v>
      </c>
      <c r="AO409" s="33">
        <f>L409*0.669161603888214</f>
        <v>0</v>
      </c>
      <c r="AP409" s="33">
        <f>L409*(1-0.669161603888214)</f>
        <v>0</v>
      </c>
      <c r="AQ409" s="59" t="s">
        <v>80</v>
      </c>
      <c r="AV409" s="33">
        <f>AW409+AX409</f>
        <v>0</v>
      </c>
      <c r="AW409" s="33">
        <f>K409*AO409</f>
        <v>0</v>
      </c>
      <c r="AX409" s="33">
        <f>K409*AP409</f>
        <v>0</v>
      </c>
      <c r="AY409" s="61" t="s">
        <v>1007</v>
      </c>
      <c r="AZ409" s="61" t="s">
        <v>1026</v>
      </c>
      <c r="BA409" s="58" t="s">
        <v>1037</v>
      </c>
      <c r="BC409" s="33">
        <f>AW409+AX409</f>
        <v>0</v>
      </c>
      <c r="BD409" s="33">
        <f>L409/(100-BE409)*100</f>
        <v>0</v>
      </c>
      <c r="BE409" s="33">
        <v>0</v>
      </c>
      <c r="BF409" s="33">
        <f>409</f>
        <v>409</v>
      </c>
      <c r="BH409" s="53">
        <f>K409*AO409</f>
        <v>0</v>
      </c>
      <c r="BI409" s="53">
        <f>K409*AP409</f>
        <v>0</v>
      </c>
      <c r="BJ409" s="53">
        <f>K409*L409</f>
        <v>0</v>
      </c>
      <c r="BK409" s="53" t="s">
        <v>1046</v>
      </c>
      <c r="BL409" s="33">
        <v>91</v>
      </c>
    </row>
    <row r="410" spans="1:14" ht="12.75">
      <c r="A410" s="17"/>
      <c r="D410" s="143" t="s">
        <v>434</v>
      </c>
      <c r="E410" s="144"/>
      <c r="F410" s="144"/>
      <c r="G410" s="144"/>
      <c r="H410" s="144"/>
      <c r="I410" s="144"/>
      <c r="K410" s="75">
        <v>2</v>
      </c>
      <c r="M410" s="14"/>
      <c r="N410" s="17"/>
    </row>
    <row r="411" spans="1:14" ht="12.75">
      <c r="A411" s="17"/>
      <c r="D411" s="143" t="s">
        <v>435</v>
      </c>
      <c r="E411" s="144"/>
      <c r="F411" s="144"/>
      <c r="G411" s="144"/>
      <c r="H411" s="144"/>
      <c r="I411" s="144"/>
      <c r="K411" s="75">
        <v>2</v>
      </c>
      <c r="M411" s="14"/>
      <c r="N411" s="17"/>
    </row>
    <row r="412" spans="1:14" ht="12.75">
      <c r="A412" s="17"/>
      <c r="D412" s="143" t="s">
        <v>436</v>
      </c>
      <c r="E412" s="144"/>
      <c r="F412" s="144"/>
      <c r="G412" s="144"/>
      <c r="H412" s="144"/>
      <c r="I412" s="144"/>
      <c r="K412" s="75">
        <v>2</v>
      </c>
      <c r="M412" s="14"/>
      <c r="N412" s="17"/>
    </row>
    <row r="413" spans="1:14" ht="12.75">
      <c r="A413" s="17"/>
      <c r="D413" s="143" t="s">
        <v>437</v>
      </c>
      <c r="E413" s="144"/>
      <c r="F413" s="144"/>
      <c r="G413" s="144"/>
      <c r="H413" s="144"/>
      <c r="I413" s="144"/>
      <c r="K413" s="75">
        <v>2</v>
      </c>
      <c r="M413" s="14"/>
      <c r="N413" s="17"/>
    </row>
    <row r="414" spans="1:14" ht="12.75">
      <c r="A414" s="17"/>
      <c r="D414" s="143" t="s">
        <v>438</v>
      </c>
      <c r="E414" s="144"/>
      <c r="F414" s="144"/>
      <c r="G414" s="144"/>
      <c r="H414" s="144"/>
      <c r="I414" s="144"/>
      <c r="K414" s="75">
        <v>2</v>
      </c>
      <c r="M414" s="14"/>
      <c r="N414" s="17"/>
    </row>
    <row r="415" spans="1:14" ht="12.75">
      <c r="A415" s="17"/>
      <c r="D415" s="143" t="s">
        <v>439</v>
      </c>
      <c r="E415" s="144"/>
      <c r="F415" s="144"/>
      <c r="G415" s="144"/>
      <c r="H415" s="144"/>
      <c r="I415" s="144"/>
      <c r="K415" s="75">
        <v>2</v>
      </c>
      <c r="M415" s="14"/>
      <c r="N415" s="17"/>
    </row>
    <row r="416" spans="1:14" ht="12.75">
      <c r="A416" s="17"/>
      <c r="D416" s="143" t="s">
        <v>763</v>
      </c>
      <c r="E416" s="144"/>
      <c r="F416" s="144"/>
      <c r="G416" s="144"/>
      <c r="H416" s="144"/>
      <c r="I416" s="144"/>
      <c r="K416" s="75">
        <v>2</v>
      </c>
      <c r="M416" s="14"/>
      <c r="N416" s="17"/>
    </row>
    <row r="417" spans="1:14" ht="12.75">
      <c r="A417" s="17"/>
      <c r="D417" s="143" t="s">
        <v>703</v>
      </c>
      <c r="E417" s="144"/>
      <c r="F417" s="144"/>
      <c r="G417" s="144"/>
      <c r="H417" s="144"/>
      <c r="I417" s="144"/>
      <c r="K417" s="75">
        <v>2</v>
      </c>
      <c r="M417" s="14"/>
      <c r="N417" s="17"/>
    </row>
    <row r="418" spans="1:64" ht="12.75">
      <c r="A418" s="39" t="s">
        <v>167</v>
      </c>
      <c r="B418" s="46" t="s">
        <v>61</v>
      </c>
      <c r="C418" s="46" t="s">
        <v>353</v>
      </c>
      <c r="D418" s="148" t="s">
        <v>764</v>
      </c>
      <c r="E418" s="149"/>
      <c r="F418" s="149"/>
      <c r="G418" s="149"/>
      <c r="H418" s="149"/>
      <c r="I418" s="149"/>
      <c r="J418" s="46" t="s">
        <v>975</v>
      </c>
      <c r="K418" s="78">
        <v>16.48</v>
      </c>
      <c r="L418" s="54">
        <v>0</v>
      </c>
      <c r="M418" s="66">
        <f>K418*L418</f>
        <v>0</v>
      </c>
      <c r="N418" s="17"/>
      <c r="Z418" s="33">
        <f>IF(AQ418="5",BJ418,0)</f>
        <v>0</v>
      </c>
      <c r="AB418" s="33">
        <f>IF(AQ418="1",BH418,0)</f>
        <v>0</v>
      </c>
      <c r="AC418" s="33">
        <f>IF(AQ418="1",BI418,0)</f>
        <v>0</v>
      </c>
      <c r="AD418" s="33">
        <f>IF(AQ418="7",BH418,0)</f>
        <v>0</v>
      </c>
      <c r="AE418" s="33">
        <f>IF(AQ418="7",BI418,0)</f>
        <v>0</v>
      </c>
      <c r="AF418" s="33">
        <f>IF(AQ418="2",BH418,0)</f>
        <v>0</v>
      </c>
      <c r="AG418" s="33">
        <f>IF(AQ418="2",BI418,0)</f>
        <v>0</v>
      </c>
      <c r="AH418" s="33">
        <f>IF(AQ418="0",BJ418,0)</f>
        <v>0</v>
      </c>
      <c r="AI418" s="58" t="s">
        <v>61</v>
      </c>
      <c r="AJ418" s="54">
        <f>IF(AN418=0,M418,0)</f>
        <v>0</v>
      </c>
      <c r="AK418" s="54">
        <f>IF(AN418=15,M418,0)</f>
        <v>0</v>
      </c>
      <c r="AL418" s="54">
        <f>IF(AN418=21,M418,0)</f>
        <v>0</v>
      </c>
      <c r="AN418" s="33">
        <v>21</v>
      </c>
      <c r="AO418" s="33">
        <f>L418*1</f>
        <v>0</v>
      </c>
      <c r="AP418" s="33">
        <f>L418*(1-1)</f>
        <v>0</v>
      </c>
      <c r="AQ418" s="60" t="s">
        <v>80</v>
      </c>
      <c r="AV418" s="33">
        <f>AW418+AX418</f>
        <v>0</v>
      </c>
      <c r="AW418" s="33">
        <f>K418*AO418</f>
        <v>0</v>
      </c>
      <c r="AX418" s="33">
        <f>K418*AP418</f>
        <v>0</v>
      </c>
      <c r="AY418" s="61" t="s">
        <v>1007</v>
      </c>
      <c r="AZ418" s="61" t="s">
        <v>1026</v>
      </c>
      <c r="BA418" s="58" t="s">
        <v>1037</v>
      </c>
      <c r="BC418" s="33">
        <f>AW418+AX418</f>
        <v>0</v>
      </c>
      <c r="BD418" s="33">
        <f>L418/(100-BE418)*100</f>
        <v>0</v>
      </c>
      <c r="BE418" s="33">
        <v>0</v>
      </c>
      <c r="BF418" s="33">
        <f>418</f>
        <v>418</v>
      </c>
      <c r="BH418" s="54">
        <f>K418*AO418</f>
        <v>0</v>
      </c>
      <c r="BI418" s="54">
        <f>K418*AP418</f>
        <v>0</v>
      </c>
      <c r="BJ418" s="54">
        <f>K418*L418</f>
        <v>0</v>
      </c>
      <c r="BK418" s="54" t="s">
        <v>1047</v>
      </c>
      <c r="BL418" s="33">
        <v>91</v>
      </c>
    </row>
    <row r="419" spans="1:14" ht="12.75">
      <c r="A419" s="17"/>
      <c r="D419" s="143" t="s">
        <v>765</v>
      </c>
      <c r="E419" s="144"/>
      <c r="F419" s="144"/>
      <c r="G419" s="144"/>
      <c r="H419" s="144"/>
      <c r="I419" s="144"/>
      <c r="K419" s="75">
        <v>16</v>
      </c>
      <c r="M419" s="14"/>
      <c r="N419" s="17"/>
    </row>
    <row r="420" spans="1:14" ht="12.75">
      <c r="A420" s="17"/>
      <c r="D420" s="143" t="s">
        <v>766</v>
      </c>
      <c r="E420" s="144"/>
      <c r="F420" s="144"/>
      <c r="G420" s="144"/>
      <c r="H420" s="144"/>
      <c r="I420" s="144"/>
      <c r="K420" s="75">
        <v>0.48</v>
      </c>
      <c r="M420" s="14"/>
      <c r="N420" s="17"/>
    </row>
    <row r="421" spans="1:47" ht="12.75">
      <c r="A421" s="37"/>
      <c r="B421" s="44" t="s">
        <v>61</v>
      </c>
      <c r="C421" s="44" t="s">
        <v>176</v>
      </c>
      <c r="D421" s="139" t="s">
        <v>767</v>
      </c>
      <c r="E421" s="140"/>
      <c r="F421" s="140"/>
      <c r="G421" s="140"/>
      <c r="H421" s="140"/>
      <c r="I421" s="140"/>
      <c r="J421" s="50" t="s">
        <v>59</v>
      </c>
      <c r="K421" s="50" t="s">
        <v>59</v>
      </c>
      <c r="L421" s="50" t="s">
        <v>59</v>
      </c>
      <c r="M421" s="64">
        <f>SUM(M422:M429)</f>
        <v>0</v>
      </c>
      <c r="N421" s="17"/>
      <c r="AI421" s="58" t="s">
        <v>61</v>
      </c>
      <c r="AS421" s="68">
        <f>SUM(AJ422:AJ429)</f>
        <v>0</v>
      </c>
      <c r="AT421" s="68">
        <f>SUM(AK422:AK429)</f>
        <v>0</v>
      </c>
      <c r="AU421" s="68">
        <f>SUM(AL422:AL429)</f>
        <v>0</v>
      </c>
    </row>
    <row r="422" spans="1:64" ht="12.75">
      <c r="A422" s="38" t="s">
        <v>168</v>
      </c>
      <c r="B422" s="45" t="s">
        <v>61</v>
      </c>
      <c r="C422" s="45" t="s">
        <v>354</v>
      </c>
      <c r="D422" s="141" t="s">
        <v>768</v>
      </c>
      <c r="E422" s="142"/>
      <c r="F422" s="142"/>
      <c r="G422" s="142"/>
      <c r="H422" s="142"/>
      <c r="I422" s="142"/>
      <c r="J422" s="45" t="s">
        <v>975</v>
      </c>
      <c r="K422" s="74">
        <v>6</v>
      </c>
      <c r="L422" s="53">
        <v>0</v>
      </c>
      <c r="M422" s="65">
        <f>K422*L422</f>
        <v>0</v>
      </c>
      <c r="N422" s="17"/>
      <c r="Z422" s="33">
        <f>IF(AQ422="5",BJ422,0)</f>
        <v>0</v>
      </c>
      <c r="AB422" s="33">
        <f>IF(AQ422="1",BH422,0)</f>
        <v>0</v>
      </c>
      <c r="AC422" s="33">
        <f>IF(AQ422="1",BI422,0)</f>
        <v>0</v>
      </c>
      <c r="AD422" s="33">
        <f>IF(AQ422="7",BH422,0)</f>
        <v>0</v>
      </c>
      <c r="AE422" s="33">
        <f>IF(AQ422="7",BI422,0)</f>
        <v>0</v>
      </c>
      <c r="AF422" s="33">
        <f>IF(AQ422="2",BH422,0)</f>
        <v>0</v>
      </c>
      <c r="AG422" s="33">
        <f>IF(AQ422="2",BI422,0)</f>
        <v>0</v>
      </c>
      <c r="AH422" s="33">
        <f>IF(AQ422="0",BJ422,0)</f>
        <v>0</v>
      </c>
      <c r="AI422" s="58" t="s">
        <v>61</v>
      </c>
      <c r="AJ422" s="53">
        <f>IF(AN422=0,M422,0)</f>
        <v>0</v>
      </c>
      <c r="AK422" s="53">
        <f>IF(AN422=15,M422,0)</f>
        <v>0</v>
      </c>
      <c r="AL422" s="53">
        <f>IF(AN422=21,M422,0)</f>
        <v>0</v>
      </c>
      <c r="AN422" s="33">
        <v>21</v>
      </c>
      <c r="AO422" s="33">
        <f>L422*0.00911242603550296</f>
        <v>0</v>
      </c>
      <c r="AP422" s="33">
        <f>L422*(1-0.00911242603550296)</f>
        <v>0</v>
      </c>
      <c r="AQ422" s="59" t="s">
        <v>80</v>
      </c>
      <c r="AV422" s="33">
        <f>AW422+AX422</f>
        <v>0</v>
      </c>
      <c r="AW422" s="33">
        <f>K422*AO422</f>
        <v>0</v>
      </c>
      <c r="AX422" s="33">
        <f>K422*AP422</f>
        <v>0</v>
      </c>
      <c r="AY422" s="61" t="s">
        <v>1008</v>
      </c>
      <c r="AZ422" s="61" t="s">
        <v>1026</v>
      </c>
      <c r="BA422" s="58" t="s">
        <v>1037</v>
      </c>
      <c r="BC422" s="33">
        <f>AW422+AX422</f>
        <v>0</v>
      </c>
      <c r="BD422" s="33">
        <f>L422/(100-BE422)*100</f>
        <v>0</v>
      </c>
      <c r="BE422" s="33">
        <v>0</v>
      </c>
      <c r="BF422" s="33">
        <f>422</f>
        <v>422</v>
      </c>
      <c r="BH422" s="53">
        <f>K422*AO422</f>
        <v>0</v>
      </c>
      <c r="BI422" s="53">
        <f>K422*AP422</f>
        <v>0</v>
      </c>
      <c r="BJ422" s="53">
        <f>K422*L422</f>
        <v>0</v>
      </c>
      <c r="BK422" s="53" t="s">
        <v>1046</v>
      </c>
      <c r="BL422" s="33">
        <v>97</v>
      </c>
    </row>
    <row r="423" spans="1:14" ht="12.75">
      <c r="A423" s="17"/>
      <c r="D423" s="143" t="s">
        <v>769</v>
      </c>
      <c r="E423" s="144"/>
      <c r="F423" s="144"/>
      <c r="G423" s="144"/>
      <c r="H423" s="144"/>
      <c r="I423" s="144"/>
      <c r="K423" s="75">
        <v>1</v>
      </c>
      <c r="M423" s="14"/>
      <c r="N423" s="17"/>
    </row>
    <row r="424" spans="1:14" ht="12.75">
      <c r="A424" s="17"/>
      <c r="D424" s="143" t="s">
        <v>770</v>
      </c>
      <c r="E424" s="144"/>
      <c r="F424" s="144"/>
      <c r="G424" s="144"/>
      <c r="H424" s="144"/>
      <c r="I424" s="144"/>
      <c r="K424" s="75">
        <v>5</v>
      </c>
      <c r="M424" s="14"/>
      <c r="N424" s="17"/>
    </row>
    <row r="425" spans="1:64" ht="12.75">
      <c r="A425" s="39" t="s">
        <v>169</v>
      </c>
      <c r="B425" s="46" t="s">
        <v>61</v>
      </c>
      <c r="C425" s="46" t="s">
        <v>355</v>
      </c>
      <c r="D425" s="148" t="s">
        <v>771</v>
      </c>
      <c r="E425" s="149"/>
      <c r="F425" s="149"/>
      <c r="G425" s="149"/>
      <c r="H425" s="149"/>
      <c r="I425" s="149"/>
      <c r="J425" s="46" t="s">
        <v>971</v>
      </c>
      <c r="K425" s="78">
        <v>1</v>
      </c>
      <c r="L425" s="54">
        <v>0</v>
      </c>
      <c r="M425" s="66">
        <f>K425*L425</f>
        <v>0</v>
      </c>
      <c r="N425" s="17"/>
      <c r="Z425" s="33">
        <f>IF(AQ425="5",BJ425,0)</f>
        <v>0</v>
      </c>
      <c r="AB425" s="33">
        <f>IF(AQ425="1",BH425,0)</f>
        <v>0</v>
      </c>
      <c r="AC425" s="33">
        <f>IF(AQ425="1",BI425,0)</f>
        <v>0</v>
      </c>
      <c r="AD425" s="33">
        <f>IF(AQ425="7",BH425,0)</f>
        <v>0</v>
      </c>
      <c r="AE425" s="33">
        <f>IF(AQ425="7",BI425,0)</f>
        <v>0</v>
      </c>
      <c r="AF425" s="33">
        <f>IF(AQ425="2",BH425,0)</f>
        <v>0</v>
      </c>
      <c r="AG425" s="33">
        <f>IF(AQ425="2",BI425,0)</f>
        <v>0</v>
      </c>
      <c r="AH425" s="33">
        <f>IF(AQ425="0",BJ425,0)</f>
        <v>0</v>
      </c>
      <c r="AI425" s="58" t="s">
        <v>61</v>
      </c>
      <c r="AJ425" s="54">
        <f>IF(AN425=0,M425,0)</f>
        <v>0</v>
      </c>
      <c r="AK425" s="54">
        <f>IF(AN425=15,M425,0)</f>
        <v>0</v>
      </c>
      <c r="AL425" s="54">
        <f>IF(AN425=21,M425,0)</f>
        <v>0</v>
      </c>
      <c r="AN425" s="33">
        <v>21</v>
      </c>
      <c r="AO425" s="33">
        <f>L425*1</f>
        <v>0</v>
      </c>
      <c r="AP425" s="33">
        <f>L425*(1-1)</f>
        <v>0</v>
      </c>
      <c r="AQ425" s="60" t="s">
        <v>80</v>
      </c>
      <c r="AV425" s="33">
        <f>AW425+AX425</f>
        <v>0</v>
      </c>
      <c r="AW425" s="33">
        <f>K425*AO425</f>
        <v>0</v>
      </c>
      <c r="AX425" s="33">
        <f>K425*AP425</f>
        <v>0</v>
      </c>
      <c r="AY425" s="61" t="s">
        <v>1008</v>
      </c>
      <c r="AZ425" s="61" t="s">
        <v>1026</v>
      </c>
      <c r="BA425" s="58" t="s">
        <v>1037</v>
      </c>
      <c r="BC425" s="33">
        <f>AW425+AX425</f>
        <v>0</v>
      </c>
      <c r="BD425" s="33">
        <f>L425/(100-BE425)*100</f>
        <v>0</v>
      </c>
      <c r="BE425" s="33">
        <v>0</v>
      </c>
      <c r="BF425" s="33">
        <f>425</f>
        <v>425</v>
      </c>
      <c r="BH425" s="54">
        <f>K425*AO425</f>
        <v>0</v>
      </c>
      <c r="BI425" s="54">
        <f>K425*AP425</f>
        <v>0</v>
      </c>
      <c r="BJ425" s="54">
        <f>K425*L425</f>
        <v>0</v>
      </c>
      <c r="BK425" s="54" t="s">
        <v>1047</v>
      </c>
      <c r="BL425" s="33">
        <v>97</v>
      </c>
    </row>
    <row r="426" spans="1:14" ht="12.75">
      <c r="A426" s="17"/>
      <c r="D426" s="143" t="s">
        <v>663</v>
      </c>
      <c r="E426" s="144"/>
      <c r="F426" s="144"/>
      <c r="G426" s="144"/>
      <c r="H426" s="144"/>
      <c r="I426" s="144"/>
      <c r="K426" s="75">
        <v>1</v>
      </c>
      <c r="M426" s="14"/>
      <c r="N426" s="17"/>
    </row>
    <row r="427" spans="1:64" ht="12.75">
      <c r="A427" s="39" t="s">
        <v>170</v>
      </c>
      <c r="B427" s="46" t="s">
        <v>61</v>
      </c>
      <c r="C427" s="46" t="s">
        <v>356</v>
      </c>
      <c r="D427" s="148" t="s">
        <v>772</v>
      </c>
      <c r="E427" s="149"/>
      <c r="F427" s="149"/>
      <c r="G427" s="149"/>
      <c r="H427" s="149"/>
      <c r="I427" s="149"/>
      <c r="J427" s="46" t="s">
        <v>971</v>
      </c>
      <c r="K427" s="78">
        <v>5</v>
      </c>
      <c r="L427" s="54">
        <v>0</v>
      </c>
      <c r="M427" s="66">
        <f>K427*L427</f>
        <v>0</v>
      </c>
      <c r="N427" s="17"/>
      <c r="Z427" s="33">
        <f>IF(AQ427="5",BJ427,0)</f>
        <v>0</v>
      </c>
      <c r="AB427" s="33">
        <f>IF(AQ427="1",BH427,0)</f>
        <v>0</v>
      </c>
      <c r="AC427" s="33">
        <f>IF(AQ427="1",BI427,0)</f>
        <v>0</v>
      </c>
      <c r="AD427" s="33">
        <f>IF(AQ427="7",BH427,0)</f>
        <v>0</v>
      </c>
      <c r="AE427" s="33">
        <f>IF(AQ427="7",BI427,0)</f>
        <v>0</v>
      </c>
      <c r="AF427" s="33">
        <f>IF(AQ427="2",BH427,0)</f>
        <v>0</v>
      </c>
      <c r="AG427" s="33">
        <f>IF(AQ427="2",BI427,0)</f>
        <v>0</v>
      </c>
      <c r="AH427" s="33">
        <f>IF(AQ427="0",BJ427,0)</f>
        <v>0</v>
      </c>
      <c r="AI427" s="58" t="s">
        <v>61</v>
      </c>
      <c r="AJ427" s="54">
        <f>IF(AN427=0,M427,0)</f>
        <v>0</v>
      </c>
      <c r="AK427" s="54">
        <f>IF(AN427=15,M427,0)</f>
        <v>0</v>
      </c>
      <c r="AL427" s="54">
        <f>IF(AN427=21,M427,0)</f>
        <v>0</v>
      </c>
      <c r="AN427" s="33">
        <v>21</v>
      </c>
      <c r="AO427" s="33">
        <f>L427*1</f>
        <v>0</v>
      </c>
      <c r="AP427" s="33">
        <f>L427*(1-1)</f>
        <v>0</v>
      </c>
      <c r="AQ427" s="60" t="s">
        <v>80</v>
      </c>
      <c r="AV427" s="33">
        <f>AW427+AX427</f>
        <v>0</v>
      </c>
      <c r="AW427" s="33">
        <f>K427*AO427</f>
        <v>0</v>
      </c>
      <c r="AX427" s="33">
        <f>K427*AP427</f>
        <v>0</v>
      </c>
      <c r="AY427" s="61" t="s">
        <v>1008</v>
      </c>
      <c r="AZ427" s="61" t="s">
        <v>1026</v>
      </c>
      <c r="BA427" s="58" t="s">
        <v>1037</v>
      </c>
      <c r="BC427" s="33">
        <f>AW427+AX427</f>
        <v>0</v>
      </c>
      <c r="BD427" s="33">
        <f>L427/(100-BE427)*100</f>
        <v>0</v>
      </c>
      <c r="BE427" s="33">
        <v>0</v>
      </c>
      <c r="BF427" s="33">
        <f>427</f>
        <v>427</v>
      </c>
      <c r="BH427" s="54">
        <f>K427*AO427</f>
        <v>0</v>
      </c>
      <c r="BI427" s="54">
        <f>K427*AP427</f>
        <v>0</v>
      </c>
      <c r="BJ427" s="54">
        <f>K427*L427</f>
        <v>0</v>
      </c>
      <c r="BK427" s="54" t="s">
        <v>1047</v>
      </c>
      <c r="BL427" s="33">
        <v>97</v>
      </c>
    </row>
    <row r="428" spans="1:14" ht="12.75">
      <c r="A428" s="17"/>
      <c r="D428" s="143" t="s">
        <v>655</v>
      </c>
      <c r="E428" s="144"/>
      <c r="F428" s="144"/>
      <c r="G428" s="144"/>
      <c r="H428" s="144"/>
      <c r="I428" s="144"/>
      <c r="K428" s="75">
        <v>5</v>
      </c>
      <c r="M428" s="14"/>
      <c r="N428" s="17"/>
    </row>
    <row r="429" spans="1:64" ht="12.75">
      <c r="A429" s="38" t="s">
        <v>171</v>
      </c>
      <c r="B429" s="45" t="s">
        <v>61</v>
      </c>
      <c r="C429" s="45" t="s">
        <v>357</v>
      </c>
      <c r="D429" s="141" t="s">
        <v>773</v>
      </c>
      <c r="E429" s="142"/>
      <c r="F429" s="142"/>
      <c r="G429" s="142"/>
      <c r="H429" s="142"/>
      <c r="I429" s="142"/>
      <c r="J429" s="45" t="s">
        <v>972</v>
      </c>
      <c r="K429" s="74">
        <v>12.8</v>
      </c>
      <c r="L429" s="53">
        <v>0</v>
      </c>
      <c r="M429" s="65">
        <f>K429*L429</f>
        <v>0</v>
      </c>
      <c r="N429" s="17"/>
      <c r="Z429" s="33">
        <f>IF(AQ429="5",BJ429,0)</f>
        <v>0</v>
      </c>
      <c r="AB429" s="33">
        <f>IF(AQ429="1",BH429,0)</f>
        <v>0</v>
      </c>
      <c r="AC429" s="33">
        <f>IF(AQ429="1",BI429,0)</f>
        <v>0</v>
      </c>
      <c r="AD429" s="33">
        <f>IF(AQ429="7",BH429,0)</f>
        <v>0</v>
      </c>
      <c r="AE429" s="33">
        <f>IF(AQ429="7",BI429,0)</f>
        <v>0</v>
      </c>
      <c r="AF429" s="33">
        <f>IF(AQ429="2",BH429,0)</f>
        <v>0</v>
      </c>
      <c r="AG429" s="33">
        <f>IF(AQ429="2",BI429,0)</f>
        <v>0</v>
      </c>
      <c r="AH429" s="33">
        <f>IF(AQ429="0",BJ429,0)</f>
        <v>0</v>
      </c>
      <c r="AI429" s="58" t="s">
        <v>61</v>
      </c>
      <c r="AJ429" s="53">
        <f>IF(AN429=0,M429,0)</f>
        <v>0</v>
      </c>
      <c r="AK429" s="53">
        <f>IF(AN429=15,M429,0)</f>
        <v>0</v>
      </c>
      <c r="AL429" s="53">
        <f>IF(AN429=21,M429,0)</f>
        <v>0</v>
      </c>
      <c r="AN429" s="33">
        <v>21</v>
      </c>
      <c r="AO429" s="33">
        <f>L429*0</f>
        <v>0</v>
      </c>
      <c r="AP429" s="33">
        <f>L429*(1-0)</f>
        <v>0</v>
      </c>
      <c r="AQ429" s="59" t="s">
        <v>80</v>
      </c>
      <c r="AV429" s="33">
        <f>AW429+AX429</f>
        <v>0</v>
      </c>
      <c r="AW429" s="33">
        <f>K429*AO429</f>
        <v>0</v>
      </c>
      <c r="AX429" s="33">
        <f>K429*AP429</f>
        <v>0</v>
      </c>
      <c r="AY429" s="61" t="s">
        <v>1008</v>
      </c>
      <c r="AZ429" s="61" t="s">
        <v>1026</v>
      </c>
      <c r="BA429" s="58" t="s">
        <v>1037</v>
      </c>
      <c r="BC429" s="33">
        <f>AW429+AX429</f>
        <v>0</v>
      </c>
      <c r="BD429" s="33">
        <f>L429/(100-BE429)*100</f>
        <v>0</v>
      </c>
      <c r="BE429" s="33">
        <v>0</v>
      </c>
      <c r="BF429" s="33">
        <f>429</f>
        <v>429</v>
      </c>
      <c r="BH429" s="53">
        <f>K429*AO429</f>
        <v>0</v>
      </c>
      <c r="BI429" s="53">
        <f>K429*AP429</f>
        <v>0</v>
      </c>
      <c r="BJ429" s="53">
        <f>K429*L429</f>
        <v>0</v>
      </c>
      <c r="BK429" s="53" t="s">
        <v>1046</v>
      </c>
      <c r="BL429" s="33">
        <v>97</v>
      </c>
    </row>
    <row r="430" spans="1:14" ht="12.75">
      <c r="A430" s="17"/>
      <c r="D430" s="143" t="s">
        <v>457</v>
      </c>
      <c r="E430" s="144"/>
      <c r="F430" s="144"/>
      <c r="G430" s="144"/>
      <c r="H430" s="144"/>
      <c r="I430" s="144"/>
      <c r="K430" s="75">
        <v>1.5</v>
      </c>
      <c r="M430" s="14"/>
      <c r="N430" s="17"/>
    </row>
    <row r="431" spans="1:14" ht="12.75">
      <c r="A431" s="17"/>
      <c r="D431" s="143" t="s">
        <v>458</v>
      </c>
      <c r="E431" s="144"/>
      <c r="F431" s="144"/>
      <c r="G431" s="144"/>
      <c r="H431" s="144"/>
      <c r="I431" s="144"/>
      <c r="K431" s="75">
        <v>1.3</v>
      </c>
      <c r="M431" s="14"/>
      <c r="N431" s="17"/>
    </row>
    <row r="432" spans="1:14" ht="12.75">
      <c r="A432" s="17"/>
      <c r="D432" s="143" t="s">
        <v>459</v>
      </c>
      <c r="E432" s="144"/>
      <c r="F432" s="144"/>
      <c r="G432" s="144"/>
      <c r="H432" s="144"/>
      <c r="I432" s="144"/>
      <c r="K432" s="75">
        <v>1.3</v>
      </c>
      <c r="M432" s="14"/>
      <c r="N432" s="17"/>
    </row>
    <row r="433" spans="1:14" ht="12.75">
      <c r="A433" s="17"/>
      <c r="D433" s="143" t="s">
        <v>460</v>
      </c>
      <c r="E433" s="144"/>
      <c r="F433" s="144"/>
      <c r="G433" s="144"/>
      <c r="H433" s="144"/>
      <c r="I433" s="144"/>
      <c r="K433" s="75">
        <v>3.6</v>
      </c>
      <c r="M433" s="14"/>
      <c r="N433" s="17"/>
    </row>
    <row r="434" spans="1:14" ht="12.75">
      <c r="A434" s="17"/>
      <c r="D434" s="143" t="s">
        <v>461</v>
      </c>
      <c r="E434" s="144"/>
      <c r="F434" s="144"/>
      <c r="G434" s="144"/>
      <c r="H434" s="144"/>
      <c r="I434" s="144"/>
      <c r="K434" s="75">
        <v>1.2</v>
      </c>
      <c r="M434" s="14"/>
      <c r="N434" s="17"/>
    </row>
    <row r="435" spans="1:14" ht="12.75">
      <c r="A435" s="17"/>
      <c r="D435" s="143" t="s">
        <v>462</v>
      </c>
      <c r="E435" s="144"/>
      <c r="F435" s="144"/>
      <c r="G435" s="144"/>
      <c r="H435" s="144"/>
      <c r="I435" s="144"/>
      <c r="K435" s="75">
        <v>1.5</v>
      </c>
      <c r="M435" s="14"/>
      <c r="N435" s="17"/>
    </row>
    <row r="436" spans="1:14" ht="12.75">
      <c r="A436" s="17"/>
      <c r="D436" s="143" t="s">
        <v>440</v>
      </c>
      <c r="E436" s="144"/>
      <c r="F436" s="144"/>
      <c r="G436" s="144"/>
      <c r="H436" s="144"/>
      <c r="I436" s="144"/>
      <c r="K436" s="75">
        <v>1.1</v>
      </c>
      <c r="M436" s="14"/>
      <c r="N436" s="17"/>
    </row>
    <row r="437" spans="1:14" ht="12.75">
      <c r="A437" s="17"/>
      <c r="D437" s="143" t="s">
        <v>441</v>
      </c>
      <c r="E437" s="144"/>
      <c r="F437" s="144"/>
      <c r="G437" s="144"/>
      <c r="H437" s="144"/>
      <c r="I437" s="144"/>
      <c r="K437" s="75">
        <v>1.3</v>
      </c>
      <c r="M437" s="14"/>
      <c r="N437" s="17"/>
    </row>
    <row r="438" spans="1:47" ht="12.75">
      <c r="A438" s="37"/>
      <c r="B438" s="44" t="s">
        <v>61</v>
      </c>
      <c r="C438" s="44" t="s">
        <v>358</v>
      </c>
      <c r="D438" s="139" t="s">
        <v>774</v>
      </c>
      <c r="E438" s="140"/>
      <c r="F438" s="140"/>
      <c r="G438" s="140"/>
      <c r="H438" s="140"/>
      <c r="I438" s="140"/>
      <c r="J438" s="50" t="s">
        <v>59</v>
      </c>
      <c r="K438" s="50" t="s">
        <v>59</v>
      </c>
      <c r="L438" s="50" t="s">
        <v>59</v>
      </c>
      <c r="M438" s="64">
        <f>SUM(M439:M448)</f>
        <v>0</v>
      </c>
      <c r="N438" s="17"/>
      <c r="AI438" s="58" t="s">
        <v>61</v>
      </c>
      <c r="AS438" s="68">
        <f>SUM(AJ439:AJ448)</f>
        <v>0</v>
      </c>
      <c r="AT438" s="68">
        <f>SUM(AK439:AK448)</f>
        <v>0</v>
      </c>
      <c r="AU438" s="68">
        <f>SUM(AL439:AL448)</f>
        <v>0</v>
      </c>
    </row>
    <row r="439" spans="1:64" ht="12.75">
      <c r="A439" s="38" t="s">
        <v>172</v>
      </c>
      <c r="B439" s="45" t="s">
        <v>61</v>
      </c>
      <c r="C439" s="45" t="s">
        <v>359</v>
      </c>
      <c r="D439" s="141" t="s">
        <v>775</v>
      </c>
      <c r="E439" s="142"/>
      <c r="F439" s="142"/>
      <c r="G439" s="142"/>
      <c r="H439" s="142"/>
      <c r="I439" s="142"/>
      <c r="J439" s="45" t="s">
        <v>975</v>
      </c>
      <c r="K439" s="74">
        <v>12</v>
      </c>
      <c r="L439" s="53">
        <v>0</v>
      </c>
      <c r="M439" s="65">
        <f>K439*L439</f>
        <v>0</v>
      </c>
      <c r="N439" s="17"/>
      <c r="Z439" s="33">
        <f>IF(AQ439="5",BJ439,0)</f>
        <v>0</v>
      </c>
      <c r="AB439" s="33">
        <f>IF(AQ439="1",BH439,0)</f>
        <v>0</v>
      </c>
      <c r="AC439" s="33">
        <f>IF(AQ439="1",BI439,0)</f>
        <v>0</v>
      </c>
      <c r="AD439" s="33">
        <f>IF(AQ439="7",BH439,0)</f>
        <v>0</v>
      </c>
      <c r="AE439" s="33">
        <f>IF(AQ439="7",BI439,0)</f>
        <v>0</v>
      </c>
      <c r="AF439" s="33">
        <f>IF(AQ439="2",BH439,0)</f>
        <v>0</v>
      </c>
      <c r="AG439" s="33">
        <f>IF(AQ439="2",BI439,0)</f>
        <v>0</v>
      </c>
      <c r="AH439" s="33">
        <f>IF(AQ439="0",BJ439,0)</f>
        <v>0</v>
      </c>
      <c r="AI439" s="58" t="s">
        <v>61</v>
      </c>
      <c r="AJ439" s="53">
        <f>IF(AN439=0,M439,0)</f>
        <v>0</v>
      </c>
      <c r="AK439" s="53">
        <f>IF(AN439=15,M439,0)</f>
        <v>0</v>
      </c>
      <c r="AL439" s="53">
        <f>IF(AN439=21,M439,0)</f>
        <v>0</v>
      </c>
      <c r="AN439" s="33">
        <v>21</v>
      </c>
      <c r="AO439" s="33">
        <f>L439*0</f>
        <v>0</v>
      </c>
      <c r="AP439" s="33">
        <f>L439*(1-0)</f>
        <v>0</v>
      </c>
      <c r="AQ439" s="59" t="s">
        <v>81</v>
      </c>
      <c r="AV439" s="33">
        <f>AW439+AX439</f>
        <v>0</v>
      </c>
      <c r="AW439" s="33">
        <f>K439*AO439</f>
        <v>0</v>
      </c>
      <c r="AX439" s="33">
        <f>K439*AP439</f>
        <v>0</v>
      </c>
      <c r="AY439" s="61" t="s">
        <v>1009</v>
      </c>
      <c r="AZ439" s="61" t="s">
        <v>1026</v>
      </c>
      <c r="BA439" s="58" t="s">
        <v>1037</v>
      </c>
      <c r="BC439" s="33">
        <f>AW439+AX439</f>
        <v>0</v>
      </c>
      <c r="BD439" s="33">
        <f>L439/(100-BE439)*100</f>
        <v>0</v>
      </c>
      <c r="BE439" s="33">
        <v>0</v>
      </c>
      <c r="BF439" s="33">
        <f>439</f>
        <v>439</v>
      </c>
      <c r="BH439" s="53">
        <f>K439*AO439</f>
        <v>0</v>
      </c>
      <c r="BI439" s="53">
        <f>K439*AP439</f>
        <v>0</v>
      </c>
      <c r="BJ439" s="53">
        <f>K439*L439</f>
        <v>0</v>
      </c>
      <c r="BK439" s="53" t="s">
        <v>1046</v>
      </c>
      <c r="BL439" s="33" t="s">
        <v>358</v>
      </c>
    </row>
    <row r="440" spans="1:14" ht="12.75">
      <c r="A440" s="17"/>
      <c r="D440" s="143" t="s">
        <v>776</v>
      </c>
      <c r="E440" s="144"/>
      <c r="F440" s="144"/>
      <c r="G440" s="144"/>
      <c r="H440" s="144"/>
      <c r="I440" s="144"/>
      <c r="K440" s="75">
        <v>2</v>
      </c>
      <c r="M440" s="14"/>
      <c r="N440" s="17"/>
    </row>
    <row r="441" spans="1:14" ht="12.75">
      <c r="A441" s="17"/>
      <c r="D441" s="143" t="s">
        <v>777</v>
      </c>
      <c r="E441" s="144"/>
      <c r="F441" s="144"/>
      <c r="G441" s="144"/>
      <c r="H441" s="144"/>
      <c r="I441" s="144"/>
      <c r="K441" s="75">
        <v>2</v>
      </c>
      <c r="M441" s="14"/>
      <c r="N441" s="17"/>
    </row>
    <row r="442" spans="1:14" ht="12.75">
      <c r="A442" s="17"/>
      <c r="D442" s="143" t="s">
        <v>778</v>
      </c>
      <c r="E442" s="144"/>
      <c r="F442" s="144"/>
      <c r="G442" s="144"/>
      <c r="H442" s="144"/>
      <c r="I442" s="144"/>
      <c r="K442" s="75">
        <v>2</v>
      </c>
      <c r="M442" s="14"/>
      <c r="N442" s="17"/>
    </row>
    <row r="443" spans="1:14" ht="12.75">
      <c r="A443" s="17"/>
      <c r="D443" s="143" t="s">
        <v>779</v>
      </c>
      <c r="E443" s="144"/>
      <c r="F443" s="144"/>
      <c r="G443" s="144"/>
      <c r="H443" s="144"/>
      <c r="I443" s="144"/>
      <c r="K443" s="75">
        <v>2</v>
      </c>
      <c r="M443" s="14"/>
      <c r="N443" s="17"/>
    </row>
    <row r="444" spans="1:14" ht="12.75">
      <c r="A444" s="17"/>
      <c r="D444" s="143" t="s">
        <v>780</v>
      </c>
      <c r="E444" s="144"/>
      <c r="F444" s="144"/>
      <c r="G444" s="144"/>
      <c r="H444" s="144"/>
      <c r="I444" s="144"/>
      <c r="K444" s="75">
        <v>2</v>
      </c>
      <c r="M444" s="14"/>
      <c r="N444" s="17"/>
    </row>
    <row r="445" spans="1:14" ht="12.75">
      <c r="A445" s="17"/>
      <c r="D445" s="143" t="s">
        <v>781</v>
      </c>
      <c r="E445" s="144"/>
      <c r="F445" s="144"/>
      <c r="G445" s="144"/>
      <c r="H445" s="144"/>
      <c r="I445" s="144"/>
      <c r="K445" s="75">
        <v>2</v>
      </c>
      <c r="M445" s="14"/>
      <c r="N445" s="17"/>
    </row>
    <row r="446" spans="1:64" ht="12.75">
      <c r="A446" s="39" t="s">
        <v>173</v>
      </c>
      <c r="B446" s="46" t="s">
        <v>61</v>
      </c>
      <c r="C446" s="46" t="s">
        <v>360</v>
      </c>
      <c r="D446" s="148" t="s">
        <v>782</v>
      </c>
      <c r="E446" s="149"/>
      <c r="F446" s="149"/>
      <c r="G446" s="149"/>
      <c r="H446" s="149"/>
      <c r="I446" s="149"/>
      <c r="J446" s="46" t="s">
        <v>975</v>
      </c>
      <c r="K446" s="78">
        <v>2</v>
      </c>
      <c r="L446" s="54">
        <v>0</v>
      </c>
      <c r="M446" s="66">
        <f>K446*L446</f>
        <v>0</v>
      </c>
      <c r="N446" s="17"/>
      <c r="Z446" s="33">
        <f>IF(AQ446="5",BJ446,0)</f>
        <v>0</v>
      </c>
      <c r="AB446" s="33">
        <f>IF(AQ446="1",BH446,0)</f>
        <v>0</v>
      </c>
      <c r="AC446" s="33">
        <f>IF(AQ446="1",BI446,0)</f>
        <v>0</v>
      </c>
      <c r="AD446" s="33">
        <f>IF(AQ446="7",BH446,0)</f>
        <v>0</v>
      </c>
      <c r="AE446" s="33">
        <f>IF(AQ446="7",BI446,0)</f>
        <v>0</v>
      </c>
      <c r="AF446" s="33">
        <f>IF(AQ446="2",BH446,0)</f>
        <v>0</v>
      </c>
      <c r="AG446" s="33">
        <f>IF(AQ446="2",BI446,0)</f>
        <v>0</v>
      </c>
      <c r="AH446" s="33">
        <f>IF(AQ446="0",BJ446,0)</f>
        <v>0</v>
      </c>
      <c r="AI446" s="58" t="s">
        <v>61</v>
      </c>
      <c r="AJ446" s="54">
        <f>IF(AN446=0,M446,0)</f>
        <v>0</v>
      </c>
      <c r="AK446" s="54">
        <f>IF(AN446=15,M446,0)</f>
        <v>0</v>
      </c>
      <c r="AL446" s="54">
        <f>IF(AN446=21,M446,0)</f>
        <v>0</v>
      </c>
      <c r="AN446" s="33">
        <v>21</v>
      </c>
      <c r="AO446" s="33">
        <f>L446*1</f>
        <v>0</v>
      </c>
      <c r="AP446" s="33">
        <f>L446*(1-1)</f>
        <v>0</v>
      </c>
      <c r="AQ446" s="60" t="s">
        <v>80</v>
      </c>
      <c r="AV446" s="33">
        <f>AW446+AX446</f>
        <v>0</v>
      </c>
      <c r="AW446" s="33">
        <f>K446*AO446</f>
        <v>0</v>
      </c>
      <c r="AX446" s="33">
        <f>K446*AP446</f>
        <v>0</v>
      </c>
      <c r="AY446" s="61" t="s">
        <v>1009</v>
      </c>
      <c r="AZ446" s="61" t="s">
        <v>1026</v>
      </c>
      <c r="BA446" s="58" t="s">
        <v>1037</v>
      </c>
      <c r="BC446" s="33">
        <f>AW446+AX446</f>
        <v>0</v>
      </c>
      <c r="BD446" s="33">
        <f>L446/(100-BE446)*100</f>
        <v>0</v>
      </c>
      <c r="BE446" s="33">
        <v>0</v>
      </c>
      <c r="BF446" s="33">
        <f>446</f>
        <v>446</v>
      </c>
      <c r="BH446" s="54">
        <f>K446*AO446</f>
        <v>0</v>
      </c>
      <c r="BI446" s="54">
        <f>K446*AP446</f>
        <v>0</v>
      </c>
      <c r="BJ446" s="54">
        <f>K446*L446</f>
        <v>0</v>
      </c>
      <c r="BK446" s="54" t="s">
        <v>1047</v>
      </c>
      <c r="BL446" s="33" t="s">
        <v>358</v>
      </c>
    </row>
    <row r="447" spans="1:14" ht="12.75">
      <c r="A447" s="17"/>
      <c r="D447" s="143" t="s">
        <v>783</v>
      </c>
      <c r="E447" s="144"/>
      <c r="F447" s="144"/>
      <c r="G447" s="144"/>
      <c r="H447" s="144"/>
      <c r="I447" s="144"/>
      <c r="K447" s="75">
        <v>2</v>
      </c>
      <c r="M447" s="14"/>
      <c r="N447" s="17"/>
    </row>
    <row r="448" spans="1:64" ht="12.75">
      <c r="A448" s="39" t="s">
        <v>174</v>
      </c>
      <c r="B448" s="46" t="s">
        <v>61</v>
      </c>
      <c r="C448" s="46" t="s">
        <v>361</v>
      </c>
      <c r="D448" s="148" t="s">
        <v>784</v>
      </c>
      <c r="E448" s="149"/>
      <c r="F448" s="149"/>
      <c r="G448" s="149"/>
      <c r="H448" s="149"/>
      <c r="I448" s="149"/>
      <c r="J448" s="46" t="s">
        <v>975</v>
      </c>
      <c r="K448" s="78">
        <v>10</v>
      </c>
      <c r="L448" s="54">
        <v>0</v>
      </c>
      <c r="M448" s="66">
        <f>K448*L448</f>
        <v>0</v>
      </c>
      <c r="N448" s="17"/>
      <c r="Z448" s="33">
        <f>IF(AQ448="5",BJ448,0)</f>
        <v>0</v>
      </c>
      <c r="AB448" s="33">
        <f>IF(AQ448="1",BH448,0)</f>
        <v>0</v>
      </c>
      <c r="AC448" s="33">
        <f>IF(AQ448="1",BI448,0)</f>
        <v>0</v>
      </c>
      <c r="AD448" s="33">
        <f>IF(AQ448="7",BH448,0)</f>
        <v>0</v>
      </c>
      <c r="AE448" s="33">
        <f>IF(AQ448="7",BI448,0)</f>
        <v>0</v>
      </c>
      <c r="AF448" s="33">
        <f>IF(AQ448="2",BH448,0)</f>
        <v>0</v>
      </c>
      <c r="AG448" s="33">
        <f>IF(AQ448="2",BI448,0)</f>
        <v>0</v>
      </c>
      <c r="AH448" s="33">
        <f>IF(AQ448="0",BJ448,0)</f>
        <v>0</v>
      </c>
      <c r="AI448" s="58" t="s">
        <v>61</v>
      </c>
      <c r="AJ448" s="54">
        <f>IF(AN448=0,M448,0)</f>
        <v>0</v>
      </c>
      <c r="AK448" s="54">
        <f>IF(AN448=15,M448,0)</f>
        <v>0</v>
      </c>
      <c r="AL448" s="54">
        <f>IF(AN448=21,M448,0)</f>
        <v>0</v>
      </c>
      <c r="AN448" s="33">
        <v>21</v>
      </c>
      <c r="AO448" s="33">
        <f>L448*1</f>
        <v>0</v>
      </c>
      <c r="AP448" s="33">
        <f>L448*(1-1)</f>
        <v>0</v>
      </c>
      <c r="AQ448" s="60" t="s">
        <v>80</v>
      </c>
      <c r="AV448" s="33">
        <f>AW448+AX448</f>
        <v>0</v>
      </c>
      <c r="AW448" s="33">
        <f>K448*AO448</f>
        <v>0</v>
      </c>
      <c r="AX448" s="33">
        <f>K448*AP448</f>
        <v>0</v>
      </c>
      <c r="AY448" s="61" t="s">
        <v>1009</v>
      </c>
      <c r="AZ448" s="61" t="s">
        <v>1026</v>
      </c>
      <c r="BA448" s="58" t="s">
        <v>1037</v>
      </c>
      <c r="BC448" s="33">
        <f>AW448+AX448</f>
        <v>0</v>
      </c>
      <c r="BD448" s="33">
        <f>L448/(100-BE448)*100</f>
        <v>0</v>
      </c>
      <c r="BE448" s="33">
        <v>0</v>
      </c>
      <c r="BF448" s="33">
        <f>448</f>
        <v>448</v>
      </c>
      <c r="BH448" s="54">
        <f>K448*AO448</f>
        <v>0</v>
      </c>
      <c r="BI448" s="54">
        <f>K448*AP448</f>
        <v>0</v>
      </c>
      <c r="BJ448" s="54">
        <f>K448*L448</f>
        <v>0</v>
      </c>
      <c r="BK448" s="54" t="s">
        <v>1047</v>
      </c>
      <c r="BL448" s="33" t="s">
        <v>358</v>
      </c>
    </row>
    <row r="449" spans="1:14" ht="12.75">
      <c r="A449" s="17"/>
      <c r="D449" s="143" t="s">
        <v>785</v>
      </c>
      <c r="E449" s="144"/>
      <c r="F449" s="144"/>
      <c r="G449" s="144"/>
      <c r="H449" s="144"/>
      <c r="I449" s="144"/>
      <c r="K449" s="75">
        <v>10</v>
      </c>
      <c r="M449" s="14"/>
      <c r="N449" s="17"/>
    </row>
    <row r="450" spans="1:47" ht="12.75">
      <c r="A450" s="37"/>
      <c r="B450" s="44" t="s">
        <v>61</v>
      </c>
      <c r="C450" s="44" t="s">
        <v>362</v>
      </c>
      <c r="D450" s="139" t="s">
        <v>786</v>
      </c>
      <c r="E450" s="140"/>
      <c r="F450" s="140"/>
      <c r="G450" s="140"/>
      <c r="H450" s="140"/>
      <c r="I450" s="140"/>
      <c r="J450" s="50" t="s">
        <v>59</v>
      </c>
      <c r="K450" s="50" t="s">
        <v>59</v>
      </c>
      <c r="L450" s="50" t="s">
        <v>59</v>
      </c>
      <c r="M450" s="64">
        <f>SUM(M451:M451)</f>
        <v>0</v>
      </c>
      <c r="N450" s="17"/>
      <c r="AI450" s="58" t="s">
        <v>61</v>
      </c>
      <c r="AS450" s="68">
        <f>SUM(AJ451:AJ451)</f>
        <v>0</v>
      </c>
      <c r="AT450" s="68">
        <f>SUM(AK451:AK451)</f>
        <v>0</v>
      </c>
      <c r="AU450" s="68">
        <f>SUM(AL451:AL451)</f>
        <v>0</v>
      </c>
    </row>
    <row r="451" spans="1:64" ht="12.75">
      <c r="A451" s="38" t="s">
        <v>175</v>
      </c>
      <c r="B451" s="45" t="s">
        <v>61</v>
      </c>
      <c r="C451" s="45" t="s">
        <v>363</v>
      </c>
      <c r="D451" s="141" t="s">
        <v>787</v>
      </c>
      <c r="E451" s="142"/>
      <c r="F451" s="142"/>
      <c r="G451" s="142"/>
      <c r="H451" s="142"/>
      <c r="I451" s="142"/>
      <c r="J451" s="45" t="s">
        <v>968</v>
      </c>
      <c r="K451" s="74">
        <v>10</v>
      </c>
      <c r="L451" s="53">
        <v>0</v>
      </c>
      <c r="M451" s="65">
        <f>K451*L451</f>
        <v>0</v>
      </c>
      <c r="N451" s="17"/>
      <c r="Z451" s="33">
        <f>IF(AQ451="5",BJ451,0)</f>
        <v>0</v>
      </c>
      <c r="AB451" s="33">
        <f>IF(AQ451="1",BH451,0)</f>
        <v>0</v>
      </c>
      <c r="AC451" s="33">
        <f>IF(AQ451="1",BI451,0)</f>
        <v>0</v>
      </c>
      <c r="AD451" s="33">
        <f>IF(AQ451="7",BH451,0)</f>
        <v>0</v>
      </c>
      <c r="AE451" s="33">
        <f>IF(AQ451="7",BI451,0)</f>
        <v>0</v>
      </c>
      <c r="AF451" s="33">
        <f>IF(AQ451="2",BH451,0)</f>
        <v>0</v>
      </c>
      <c r="AG451" s="33">
        <f>IF(AQ451="2",BI451,0)</f>
        <v>0</v>
      </c>
      <c r="AH451" s="33">
        <f>IF(AQ451="0",BJ451,0)</f>
        <v>0</v>
      </c>
      <c r="AI451" s="58" t="s">
        <v>61</v>
      </c>
      <c r="AJ451" s="53">
        <f>IF(AN451=0,M451,0)</f>
        <v>0</v>
      </c>
      <c r="AK451" s="53">
        <f>IF(AN451=15,M451,0)</f>
        <v>0</v>
      </c>
      <c r="AL451" s="53">
        <f>IF(AN451=21,M451,0)</f>
        <v>0</v>
      </c>
      <c r="AN451" s="33">
        <v>21</v>
      </c>
      <c r="AO451" s="33">
        <f>L451*0.948582183186951</f>
        <v>0</v>
      </c>
      <c r="AP451" s="33">
        <f>L451*(1-0.948582183186951)</f>
        <v>0</v>
      </c>
      <c r="AQ451" s="59" t="s">
        <v>81</v>
      </c>
      <c r="AV451" s="33">
        <f>AW451+AX451</f>
        <v>0</v>
      </c>
      <c r="AW451" s="33">
        <f>K451*AO451</f>
        <v>0</v>
      </c>
      <c r="AX451" s="33">
        <f>K451*AP451</f>
        <v>0</v>
      </c>
      <c r="AY451" s="61" t="s">
        <v>1010</v>
      </c>
      <c r="AZ451" s="61" t="s">
        <v>1026</v>
      </c>
      <c r="BA451" s="58" t="s">
        <v>1037</v>
      </c>
      <c r="BC451" s="33">
        <f>AW451+AX451</f>
        <v>0</v>
      </c>
      <c r="BD451" s="33">
        <f>L451/(100-BE451)*100</f>
        <v>0</v>
      </c>
      <c r="BE451" s="33">
        <v>0</v>
      </c>
      <c r="BF451" s="33">
        <f>451</f>
        <v>451</v>
      </c>
      <c r="BH451" s="53">
        <f>K451*AO451</f>
        <v>0</v>
      </c>
      <c r="BI451" s="53">
        <f>K451*AP451</f>
        <v>0</v>
      </c>
      <c r="BJ451" s="53">
        <f>K451*L451</f>
        <v>0</v>
      </c>
      <c r="BK451" s="53" t="s">
        <v>1046</v>
      </c>
      <c r="BL451" s="33" t="s">
        <v>362</v>
      </c>
    </row>
    <row r="452" spans="1:14" ht="12.75">
      <c r="A452" s="17"/>
      <c r="D452" s="143" t="s">
        <v>788</v>
      </c>
      <c r="E452" s="144"/>
      <c r="F452" s="144"/>
      <c r="G452" s="144"/>
      <c r="H452" s="144"/>
      <c r="I452" s="144"/>
      <c r="K452" s="75">
        <v>10</v>
      </c>
      <c r="M452" s="14"/>
      <c r="N452" s="17"/>
    </row>
    <row r="453" spans="1:47" ht="12.75">
      <c r="A453" s="37"/>
      <c r="B453" s="44" t="s">
        <v>61</v>
      </c>
      <c r="C453" s="44" t="s">
        <v>364</v>
      </c>
      <c r="D453" s="139" t="s">
        <v>789</v>
      </c>
      <c r="E453" s="140"/>
      <c r="F453" s="140"/>
      <c r="G453" s="140"/>
      <c r="H453" s="140"/>
      <c r="I453" s="140"/>
      <c r="J453" s="50" t="s">
        <v>59</v>
      </c>
      <c r="K453" s="50" t="s">
        <v>59</v>
      </c>
      <c r="L453" s="50" t="s">
        <v>59</v>
      </c>
      <c r="M453" s="64">
        <f>SUM(M454:M465)</f>
        <v>0</v>
      </c>
      <c r="N453" s="17"/>
      <c r="AI453" s="58" t="s">
        <v>61</v>
      </c>
      <c r="AS453" s="68">
        <f>SUM(AJ454:AJ465)</f>
        <v>0</v>
      </c>
      <c r="AT453" s="68">
        <f>SUM(AK454:AK465)</f>
        <v>0</v>
      </c>
      <c r="AU453" s="68">
        <f>SUM(AL454:AL465)</f>
        <v>0</v>
      </c>
    </row>
    <row r="454" spans="1:64" ht="12.75">
      <c r="A454" s="38" t="s">
        <v>176</v>
      </c>
      <c r="B454" s="45" t="s">
        <v>61</v>
      </c>
      <c r="C454" s="45" t="s">
        <v>365</v>
      </c>
      <c r="D454" s="141" t="s">
        <v>790</v>
      </c>
      <c r="E454" s="142"/>
      <c r="F454" s="142"/>
      <c r="G454" s="142"/>
      <c r="H454" s="142"/>
      <c r="I454" s="142"/>
      <c r="J454" s="45" t="s">
        <v>974</v>
      </c>
      <c r="K454" s="74">
        <v>9.983</v>
      </c>
      <c r="L454" s="53">
        <v>0</v>
      </c>
      <c r="M454" s="65">
        <f>K454*L454</f>
        <v>0</v>
      </c>
      <c r="N454" s="17"/>
      <c r="Z454" s="33">
        <f>IF(AQ454="5",BJ454,0)</f>
        <v>0</v>
      </c>
      <c r="AB454" s="33">
        <f>IF(AQ454="1",BH454,0)</f>
        <v>0</v>
      </c>
      <c r="AC454" s="33">
        <f>IF(AQ454="1",BI454,0)</f>
        <v>0</v>
      </c>
      <c r="AD454" s="33">
        <f>IF(AQ454="7",BH454,0)</f>
        <v>0</v>
      </c>
      <c r="AE454" s="33">
        <f>IF(AQ454="7",BI454,0)</f>
        <v>0</v>
      </c>
      <c r="AF454" s="33">
        <f>IF(AQ454="2",BH454,0)</f>
        <v>0</v>
      </c>
      <c r="AG454" s="33">
        <f>IF(AQ454="2",BI454,0)</f>
        <v>0</v>
      </c>
      <c r="AH454" s="33">
        <f>IF(AQ454="0",BJ454,0)</f>
        <v>0</v>
      </c>
      <c r="AI454" s="58" t="s">
        <v>61</v>
      </c>
      <c r="AJ454" s="53">
        <f>IF(AN454=0,M454,0)</f>
        <v>0</v>
      </c>
      <c r="AK454" s="53">
        <f>IF(AN454=15,M454,0)</f>
        <v>0</v>
      </c>
      <c r="AL454" s="53">
        <f>IF(AN454=21,M454,0)</f>
        <v>0</v>
      </c>
      <c r="AN454" s="33">
        <v>21</v>
      </c>
      <c r="AO454" s="33">
        <f>L454*0.0100451411131927</f>
        <v>0</v>
      </c>
      <c r="AP454" s="33">
        <f>L454*(1-0.0100451411131927)</f>
        <v>0</v>
      </c>
      <c r="AQ454" s="59" t="s">
        <v>84</v>
      </c>
      <c r="AV454" s="33">
        <f>AW454+AX454</f>
        <v>0</v>
      </c>
      <c r="AW454" s="33">
        <f>K454*AO454</f>
        <v>0</v>
      </c>
      <c r="AX454" s="33">
        <f>K454*AP454</f>
        <v>0</v>
      </c>
      <c r="AY454" s="61" t="s">
        <v>1011</v>
      </c>
      <c r="AZ454" s="61" t="s">
        <v>1026</v>
      </c>
      <c r="BA454" s="58" t="s">
        <v>1037</v>
      </c>
      <c r="BC454" s="33">
        <f>AW454+AX454</f>
        <v>0</v>
      </c>
      <c r="BD454" s="33">
        <f>L454/(100-BE454)*100</f>
        <v>0</v>
      </c>
      <c r="BE454" s="33">
        <v>0</v>
      </c>
      <c r="BF454" s="33">
        <f>454</f>
        <v>454</v>
      </c>
      <c r="BH454" s="53">
        <f>K454*AO454</f>
        <v>0</v>
      </c>
      <c r="BI454" s="53">
        <f>K454*AP454</f>
        <v>0</v>
      </c>
      <c r="BJ454" s="53">
        <f>K454*L454</f>
        <v>0</v>
      </c>
      <c r="BK454" s="53" t="s">
        <v>1046</v>
      </c>
      <c r="BL454" s="33" t="s">
        <v>364</v>
      </c>
    </row>
    <row r="455" spans="1:14" ht="12.75">
      <c r="A455" s="17"/>
      <c r="D455" s="143" t="s">
        <v>791</v>
      </c>
      <c r="E455" s="144"/>
      <c r="F455" s="144"/>
      <c r="G455" s="144"/>
      <c r="H455" s="144"/>
      <c r="I455" s="144"/>
      <c r="K455" s="75">
        <v>9.983</v>
      </c>
      <c r="M455" s="14"/>
      <c r="N455" s="17"/>
    </row>
    <row r="456" spans="1:64" ht="12.75">
      <c r="A456" s="38" t="s">
        <v>177</v>
      </c>
      <c r="B456" s="45" t="s">
        <v>61</v>
      </c>
      <c r="C456" s="45" t="s">
        <v>366</v>
      </c>
      <c r="D456" s="141" t="s">
        <v>792</v>
      </c>
      <c r="E456" s="142"/>
      <c r="F456" s="142"/>
      <c r="G456" s="142"/>
      <c r="H456" s="142"/>
      <c r="I456" s="142"/>
      <c r="J456" s="45" t="s">
        <v>974</v>
      </c>
      <c r="K456" s="74">
        <v>79.864</v>
      </c>
      <c r="L456" s="53">
        <v>0</v>
      </c>
      <c r="M456" s="65">
        <f>K456*L456</f>
        <v>0</v>
      </c>
      <c r="N456" s="17"/>
      <c r="Z456" s="33">
        <f>IF(AQ456="5",BJ456,0)</f>
        <v>0</v>
      </c>
      <c r="AB456" s="33">
        <f>IF(AQ456="1",BH456,0)</f>
        <v>0</v>
      </c>
      <c r="AC456" s="33">
        <f>IF(AQ456="1",BI456,0)</f>
        <v>0</v>
      </c>
      <c r="AD456" s="33">
        <f>IF(AQ456="7",BH456,0)</f>
        <v>0</v>
      </c>
      <c r="AE456" s="33">
        <f>IF(AQ456="7",BI456,0)</f>
        <v>0</v>
      </c>
      <c r="AF456" s="33">
        <f>IF(AQ456="2",BH456,0)</f>
        <v>0</v>
      </c>
      <c r="AG456" s="33">
        <f>IF(AQ456="2",BI456,0)</f>
        <v>0</v>
      </c>
      <c r="AH456" s="33">
        <f>IF(AQ456="0",BJ456,0)</f>
        <v>0</v>
      </c>
      <c r="AI456" s="58" t="s">
        <v>61</v>
      </c>
      <c r="AJ456" s="53">
        <f>IF(AN456=0,M456,0)</f>
        <v>0</v>
      </c>
      <c r="AK456" s="53">
        <f>IF(AN456=15,M456,0)</f>
        <v>0</v>
      </c>
      <c r="AL456" s="53">
        <f>IF(AN456=21,M456,0)</f>
        <v>0</v>
      </c>
      <c r="AN456" s="33">
        <v>21</v>
      </c>
      <c r="AO456" s="33">
        <f>L456*0</f>
        <v>0</v>
      </c>
      <c r="AP456" s="33">
        <f>L456*(1-0)</f>
        <v>0</v>
      </c>
      <c r="AQ456" s="59" t="s">
        <v>84</v>
      </c>
      <c r="AV456" s="33">
        <f>AW456+AX456</f>
        <v>0</v>
      </c>
      <c r="AW456" s="33">
        <f>K456*AO456</f>
        <v>0</v>
      </c>
      <c r="AX456" s="33">
        <f>K456*AP456</f>
        <v>0</v>
      </c>
      <c r="AY456" s="61" t="s">
        <v>1011</v>
      </c>
      <c r="AZ456" s="61" t="s">
        <v>1026</v>
      </c>
      <c r="BA456" s="58" t="s">
        <v>1037</v>
      </c>
      <c r="BC456" s="33">
        <f>AW456+AX456</f>
        <v>0</v>
      </c>
      <c r="BD456" s="33">
        <f>L456/(100-BE456)*100</f>
        <v>0</v>
      </c>
      <c r="BE456" s="33">
        <v>0</v>
      </c>
      <c r="BF456" s="33">
        <f>456</f>
        <v>456</v>
      </c>
      <c r="BH456" s="53">
        <f>K456*AO456</f>
        <v>0</v>
      </c>
      <c r="BI456" s="53">
        <f>K456*AP456</f>
        <v>0</v>
      </c>
      <c r="BJ456" s="53">
        <f>K456*L456</f>
        <v>0</v>
      </c>
      <c r="BK456" s="53" t="s">
        <v>1046</v>
      </c>
      <c r="BL456" s="33" t="s">
        <v>364</v>
      </c>
    </row>
    <row r="457" spans="1:14" ht="12.75">
      <c r="A457" s="17"/>
      <c r="D457" s="143" t="s">
        <v>793</v>
      </c>
      <c r="E457" s="144"/>
      <c r="F457" s="144"/>
      <c r="G457" s="144"/>
      <c r="H457" s="144"/>
      <c r="I457" s="144"/>
      <c r="K457" s="75">
        <v>79.864</v>
      </c>
      <c r="M457" s="14"/>
      <c r="N457" s="17"/>
    </row>
    <row r="458" spans="1:64" ht="12.75">
      <c r="A458" s="38" t="s">
        <v>178</v>
      </c>
      <c r="B458" s="45" t="s">
        <v>61</v>
      </c>
      <c r="C458" s="45" t="s">
        <v>367</v>
      </c>
      <c r="D458" s="141" t="s">
        <v>794</v>
      </c>
      <c r="E458" s="142"/>
      <c r="F458" s="142"/>
      <c r="G458" s="142"/>
      <c r="H458" s="142"/>
      <c r="I458" s="142"/>
      <c r="J458" s="45" t="s">
        <v>974</v>
      </c>
      <c r="K458" s="74">
        <v>9.983</v>
      </c>
      <c r="L458" s="53">
        <v>0</v>
      </c>
      <c r="M458" s="65">
        <f>K458*L458</f>
        <v>0</v>
      </c>
      <c r="N458" s="17"/>
      <c r="Z458" s="33">
        <f>IF(AQ458="5",BJ458,0)</f>
        <v>0</v>
      </c>
      <c r="AB458" s="33">
        <f>IF(AQ458="1",BH458,0)</f>
        <v>0</v>
      </c>
      <c r="AC458" s="33">
        <f>IF(AQ458="1",BI458,0)</f>
        <v>0</v>
      </c>
      <c r="AD458" s="33">
        <f>IF(AQ458="7",BH458,0)</f>
        <v>0</v>
      </c>
      <c r="AE458" s="33">
        <f>IF(AQ458="7",BI458,0)</f>
        <v>0</v>
      </c>
      <c r="AF458" s="33">
        <f>IF(AQ458="2",BH458,0)</f>
        <v>0</v>
      </c>
      <c r="AG458" s="33">
        <f>IF(AQ458="2",BI458,0)</f>
        <v>0</v>
      </c>
      <c r="AH458" s="33">
        <f>IF(AQ458="0",BJ458,0)</f>
        <v>0</v>
      </c>
      <c r="AI458" s="58" t="s">
        <v>61</v>
      </c>
      <c r="AJ458" s="53">
        <f>IF(AN458=0,M458,0)</f>
        <v>0</v>
      </c>
      <c r="AK458" s="53">
        <f>IF(AN458=15,M458,0)</f>
        <v>0</v>
      </c>
      <c r="AL458" s="53">
        <f>IF(AN458=21,M458,0)</f>
        <v>0</v>
      </c>
      <c r="AN458" s="33">
        <v>21</v>
      </c>
      <c r="AO458" s="33">
        <f>L458*0</f>
        <v>0</v>
      </c>
      <c r="AP458" s="33">
        <f>L458*(1-0)</f>
        <v>0</v>
      </c>
      <c r="AQ458" s="59" t="s">
        <v>84</v>
      </c>
      <c r="AV458" s="33">
        <f>AW458+AX458</f>
        <v>0</v>
      </c>
      <c r="AW458" s="33">
        <f>K458*AO458</f>
        <v>0</v>
      </c>
      <c r="AX458" s="33">
        <f>K458*AP458</f>
        <v>0</v>
      </c>
      <c r="AY458" s="61" t="s">
        <v>1011</v>
      </c>
      <c r="AZ458" s="61" t="s">
        <v>1026</v>
      </c>
      <c r="BA458" s="58" t="s">
        <v>1037</v>
      </c>
      <c r="BC458" s="33">
        <f>AW458+AX458</f>
        <v>0</v>
      </c>
      <c r="BD458" s="33">
        <f>L458/(100-BE458)*100</f>
        <v>0</v>
      </c>
      <c r="BE458" s="33">
        <v>0</v>
      </c>
      <c r="BF458" s="33">
        <f>458</f>
        <v>458</v>
      </c>
      <c r="BH458" s="53">
        <f>K458*AO458</f>
        <v>0</v>
      </c>
      <c r="BI458" s="53">
        <f>K458*AP458</f>
        <v>0</v>
      </c>
      <c r="BJ458" s="53">
        <f>K458*L458</f>
        <v>0</v>
      </c>
      <c r="BK458" s="53" t="s">
        <v>1046</v>
      </c>
      <c r="BL458" s="33" t="s">
        <v>364</v>
      </c>
    </row>
    <row r="459" spans="1:14" ht="12.75">
      <c r="A459" s="17"/>
      <c r="D459" s="143" t="s">
        <v>791</v>
      </c>
      <c r="E459" s="144"/>
      <c r="F459" s="144"/>
      <c r="G459" s="144"/>
      <c r="H459" s="144"/>
      <c r="I459" s="144"/>
      <c r="K459" s="75">
        <v>9.983</v>
      </c>
      <c r="M459" s="14"/>
      <c r="N459" s="17"/>
    </row>
    <row r="460" spans="1:64" ht="12.75">
      <c r="A460" s="38" t="s">
        <v>179</v>
      </c>
      <c r="B460" s="45" t="s">
        <v>61</v>
      </c>
      <c r="C460" s="45" t="s">
        <v>368</v>
      </c>
      <c r="D460" s="141" t="s">
        <v>795</v>
      </c>
      <c r="E460" s="142"/>
      <c r="F460" s="142"/>
      <c r="G460" s="142"/>
      <c r="H460" s="142"/>
      <c r="I460" s="142"/>
      <c r="J460" s="45" t="s">
        <v>974</v>
      </c>
      <c r="K460" s="74">
        <v>9.983</v>
      </c>
      <c r="L460" s="53">
        <v>0</v>
      </c>
      <c r="M460" s="65">
        <f>K460*L460</f>
        <v>0</v>
      </c>
      <c r="N460" s="17"/>
      <c r="Z460" s="33">
        <f>IF(AQ460="5",BJ460,0)</f>
        <v>0</v>
      </c>
      <c r="AB460" s="33">
        <f>IF(AQ460="1",BH460,0)</f>
        <v>0</v>
      </c>
      <c r="AC460" s="33">
        <f>IF(AQ460="1",BI460,0)</f>
        <v>0</v>
      </c>
      <c r="AD460" s="33">
        <f>IF(AQ460="7",BH460,0)</f>
        <v>0</v>
      </c>
      <c r="AE460" s="33">
        <f>IF(AQ460="7",BI460,0)</f>
        <v>0</v>
      </c>
      <c r="AF460" s="33">
        <f>IF(AQ460="2",BH460,0)</f>
        <v>0</v>
      </c>
      <c r="AG460" s="33">
        <f>IF(AQ460="2",BI460,0)</f>
        <v>0</v>
      </c>
      <c r="AH460" s="33">
        <f>IF(AQ460="0",BJ460,0)</f>
        <v>0</v>
      </c>
      <c r="AI460" s="58" t="s">
        <v>61</v>
      </c>
      <c r="AJ460" s="53">
        <f>IF(AN460=0,M460,0)</f>
        <v>0</v>
      </c>
      <c r="AK460" s="53">
        <f>IF(AN460=15,M460,0)</f>
        <v>0</v>
      </c>
      <c r="AL460" s="53">
        <f>IF(AN460=21,M460,0)</f>
        <v>0</v>
      </c>
      <c r="AN460" s="33">
        <v>21</v>
      </c>
      <c r="AO460" s="33">
        <f>L460*0</f>
        <v>0</v>
      </c>
      <c r="AP460" s="33">
        <f>L460*(1-0)</f>
        <v>0</v>
      </c>
      <c r="AQ460" s="59" t="s">
        <v>84</v>
      </c>
      <c r="AV460" s="33">
        <f>AW460+AX460</f>
        <v>0</v>
      </c>
      <c r="AW460" s="33">
        <f>K460*AO460</f>
        <v>0</v>
      </c>
      <c r="AX460" s="33">
        <f>K460*AP460</f>
        <v>0</v>
      </c>
      <c r="AY460" s="61" t="s">
        <v>1011</v>
      </c>
      <c r="AZ460" s="61" t="s">
        <v>1026</v>
      </c>
      <c r="BA460" s="58" t="s">
        <v>1037</v>
      </c>
      <c r="BC460" s="33">
        <f>AW460+AX460</f>
        <v>0</v>
      </c>
      <c r="BD460" s="33">
        <f>L460/(100-BE460)*100</f>
        <v>0</v>
      </c>
      <c r="BE460" s="33">
        <v>0</v>
      </c>
      <c r="BF460" s="33">
        <f>460</f>
        <v>460</v>
      </c>
      <c r="BH460" s="53">
        <f>K460*AO460</f>
        <v>0</v>
      </c>
      <c r="BI460" s="53">
        <f>K460*AP460</f>
        <v>0</v>
      </c>
      <c r="BJ460" s="53">
        <f>K460*L460</f>
        <v>0</v>
      </c>
      <c r="BK460" s="53" t="s">
        <v>1046</v>
      </c>
      <c r="BL460" s="33" t="s">
        <v>364</v>
      </c>
    </row>
    <row r="461" spans="1:14" ht="12.75">
      <c r="A461" s="17"/>
      <c r="D461" s="143" t="s">
        <v>791</v>
      </c>
      <c r="E461" s="144"/>
      <c r="F461" s="144"/>
      <c r="G461" s="144"/>
      <c r="H461" s="144"/>
      <c r="I461" s="144"/>
      <c r="K461" s="75">
        <v>9.983</v>
      </c>
      <c r="M461" s="14"/>
      <c r="N461" s="17"/>
    </row>
    <row r="462" spans="1:64" ht="12.75">
      <c r="A462" s="38" t="s">
        <v>180</v>
      </c>
      <c r="B462" s="45" t="s">
        <v>61</v>
      </c>
      <c r="C462" s="45" t="s">
        <v>369</v>
      </c>
      <c r="D462" s="141" t="s">
        <v>796</v>
      </c>
      <c r="E462" s="142"/>
      <c r="F462" s="142"/>
      <c r="G462" s="142"/>
      <c r="H462" s="142"/>
      <c r="I462" s="142"/>
      <c r="J462" s="45" t="s">
        <v>974</v>
      </c>
      <c r="K462" s="74">
        <v>5.934</v>
      </c>
      <c r="L462" s="53">
        <v>0</v>
      </c>
      <c r="M462" s="65">
        <f>K462*L462</f>
        <v>0</v>
      </c>
      <c r="N462" s="17"/>
      <c r="Z462" s="33">
        <f>IF(AQ462="5",BJ462,0)</f>
        <v>0</v>
      </c>
      <c r="AB462" s="33">
        <f>IF(AQ462="1",BH462,0)</f>
        <v>0</v>
      </c>
      <c r="AC462" s="33">
        <f>IF(AQ462="1",BI462,0)</f>
        <v>0</v>
      </c>
      <c r="AD462" s="33">
        <f>IF(AQ462="7",BH462,0)</f>
        <v>0</v>
      </c>
      <c r="AE462" s="33">
        <f>IF(AQ462="7",BI462,0)</f>
        <v>0</v>
      </c>
      <c r="AF462" s="33">
        <f>IF(AQ462="2",BH462,0)</f>
        <v>0</v>
      </c>
      <c r="AG462" s="33">
        <f>IF(AQ462="2",BI462,0)</f>
        <v>0</v>
      </c>
      <c r="AH462" s="33">
        <f>IF(AQ462="0",BJ462,0)</f>
        <v>0</v>
      </c>
      <c r="AI462" s="58" t="s">
        <v>61</v>
      </c>
      <c r="AJ462" s="53">
        <f>IF(AN462=0,M462,0)</f>
        <v>0</v>
      </c>
      <c r="AK462" s="53">
        <f>IF(AN462=15,M462,0)</f>
        <v>0</v>
      </c>
      <c r="AL462" s="53">
        <f>IF(AN462=21,M462,0)</f>
        <v>0</v>
      </c>
      <c r="AN462" s="33">
        <v>21</v>
      </c>
      <c r="AO462" s="33">
        <f>L462*0</f>
        <v>0</v>
      </c>
      <c r="AP462" s="33">
        <f>L462*(1-0)</f>
        <v>0</v>
      </c>
      <c r="AQ462" s="59" t="s">
        <v>84</v>
      </c>
      <c r="AV462" s="33">
        <f>AW462+AX462</f>
        <v>0</v>
      </c>
      <c r="AW462" s="33">
        <f>K462*AO462</f>
        <v>0</v>
      </c>
      <c r="AX462" s="33">
        <f>K462*AP462</f>
        <v>0</v>
      </c>
      <c r="AY462" s="61" t="s">
        <v>1011</v>
      </c>
      <c r="AZ462" s="61" t="s">
        <v>1026</v>
      </c>
      <c r="BA462" s="58" t="s">
        <v>1037</v>
      </c>
      <c r="BC462" s="33">
        <f>AW462+AX462</f>
        <v>0</v>
      </c>
      <c r="BD462" s="33">
        <f>L462/(100-BE462)*100</f>
        <v>0</v>
      </c>
      <c r="BE462" s="33">
        <v>0</v>
      </c>
      <c r="BF462" s="33">
        <f>462</f>
        <v>462</v>
      </c>
      <c r="BH462" s="53">
        <f>K462*AO462</f>
        <v>0</v>
      </c>
      <c r="BI462" s="53">
        <f>K462*AP462</f>
        <v>0</v>
      </c>
      <c r="BJ462" s="53">
        <f>K462*L462</f>
        <v>0</v>
      </c>
      <c r="BK462" s="53" t="s">
        <v>1046</v>
      </c>
      <c r="BL462" s="33" t="s">
        <v>364</v>
      </c>
    </row>
    <row r="463" spans="1:14" ht="12.75">
      <c r="A463" s="17"/>
      <c r="D463" s="143" t="s">
        <v>797</v>
      </c>
      <c r="E463" s="144"/>
      <c r="F463" s="144"/>
      <c r="G463" s="144"/>
      <c r="H463" s="144"/>
      <c r="I463" s="144"/>
      <c r="K463" s="75">
        <v>5.632</v>
      </c>
      <c r="M463" s="14"/>
      <c r="N463" s="17"/>
    </row>
    <row r="464" spans="1:14" ht="12.75">
      <c r="A464" s="17"/>
      <c r="D464" s="143" t="s">
        <v>798</v>
      </c>
      <c r="E464" s="144"/>
      <c r="F464" s="144"/>
      <c r="G464" s="144"/>
      <c r="H464" s="144"/>
      <c r="I464" s="144"/>
      <c r="K464" s="75">
        <v>0.302</v>
      </c>
      <c r="M464" s="14"/>
      <c r="N464" s="17"/>
    </row>
    <row r="465" spans="1:64" ht="12.75">
      <c r="A465" s="38" t="s">
        <v>181</v>
      </c>
      <c r="B465" s="45" t="s">
        <v>61</v>
      </c>
      <c r="C465" s="45" t="s">
        <v>370</v>
      </c>
      <c r="D465" s="141" t="s">
        <v>799</v>
      </c>
      <c r="E465" s="142"/>
      <c r="F465" s="142"/>
      <c r="G465" s="142"/>
      <c r="H465" s="142"/>
      <c r="I465" s="142"/>
      <c r="J465" s="45" t="s">
        <v>974</v>
      </c>
      <c r="K465" s="74">
        <v>4.049</v>
      </c>
      <c r="L465" s="53">
        <v>0</v>
      </c>
      <c r="M465" s="65">
        <f>K465*L465</f>
        <v>0</v>
      </c>
      <c r="N465" s="17"/>
      <c r="Z465" s="33">
        <f>IF(AQ465="5",BJ465,0)</f>
        <v>0</v>
      </c>
      <c r="AB465" s="33">
        <f>IF(AQ465="1",BH465,0)</f>
        <v>0</v>
      </c>
      <c r="AC465" s="33">
        <f>IF(AQ465="1",BI465,0)</f>
        <v>0</v>
      </c>
      <c r="AD465" s="33">
        <f>IF(AQ465="7",BH465,0)</f>
        <v>0</v>
      </c>
      <c r="AE465" s="33">
        <f>IF(AQ465="7",BI465,0)</f>
        <v>0</v>
      </c>
      <c r="AF465" s="33">
        <f>IF(AQ465="2",BH465,0)</f>
        <v>0</v>
      </c>
      <c r="AG465" s="33">
        <f>IF(AQ465="2",BI465,0)</f>
        <v>0</v>
      </c>
      <c r="AH465" s="33">
        <f>IF(AQ465="0",BJ465,0)</f>
        <v>0</v>
      </c>
      <c r="AI465" s="58" t="s">
        <v>61</v>
      </c>
      <c r="AJ465" s="53">
        <f>IF(AN465=0,M465,0)</f>
        <v>0</v>
      </c>
      <c r="AK465" s="53">
        <f>IF(AN465=15,M465,0)</f>
        <v>0</v>
      </c>
      <c r="AL465" s="53">
        <f>IF(AN465=21,M465,0)</f>
        <v>0</v>
      </c>
      <c r="AN465" s="33">
        <v>21</v>
      </c>
      <c r="AO465" s="33">
        <f>L465*0</f>
        <v>0</v>
      </c>
      <c r="AP465" s="33">
        <f>L465*(1-0)</f>
        <v>0</v>
      </c>
      <c r="AQ465" s="59" t="s">
        <v>84</v>
      </c>
      <c r="AV465" s="33">
        <f>AW465+AX465</f>
        <v>0</v>
      </c>
      <c r="AW465" s="33">
        <f>K465*AO465</f>
        <v>0</v>
      </c>
      <c r="AX465" s="33">
        <f>K465*AP465</f>
        <v>0</v>
      </c>
      <c r="AY465" s="61" t="s">
        <v>1011</v>
      </c>
      <c r="AZ465" s="61" t="s">
        <v>1026</v>
      </c>
      <c r="BA465" s="58" t="s">
        <v>1037</v>
      </c>
      <c r="BC465" s="33">
        <f>AW465+AX465</f>
        <v>0</v>
      </c>
      <c r="BD465" s="33">
        <f>L465/(100-BE465)*100</f>
        <v>0</v>
      </c>
      <c r="BE465" s="33">
        <v>0</v>
      </c>
      <c r="BF465" s="33">
        <f>465</f>
        <v>465</v>
      </c>
      <c r="BH465" s="53">
        <f>K465*AO465</f>
        <v>0</v>
      </c>
      <c r="BI465" s="53">
        <f>K465*AP465</f>
        <v>0</v>
      </c>
      <c r="BJ465" s="53">
        <f>K465*L465</f>
        <v>0</v>
      </c>
      <c r="BK465" s="53" t="s">
        <v>1046</v>
      </c>
      <c r="BL465" s="33" t="s">
        <v>364</v>
      </c>
    </row>
    <row r="466" spans="1:14" ht="12.75">
      <c r="A466" s="17"/>
      <c r="D466" s="143" t="s">
        <v>800</v>
      </c>
      <c r="E466" s="144"/>
      <c r="F466" s="144"/>
      <c r="G466" s="144"/>
      <c r="H466" s="144"/>
      <c r="I466" s="144"/>
      <c r="K466" s="75">
        <v>3.888</v>
      </c>
      <c r="M466" s="14"/>
      <c r="N466" s="17"/>
    </row>
    <row r="467" spans="1:14" ht="12.75">
      <c r="A467" s="17"/>
      <c r="D467" s="143" t="s">
        <v>801</v>
      </c>
      <c r="E467" s="144"/>
      <c r="F467" s="144"/>
      <c r="G467" s="144"/>
      <c r="H467" s="144"/>
      <c r="I467" s="144"/>
      <c r="K467" s="75">
        <v>0.161</v>
      </c>
      <c r="M467" s="14"/>
      <c r="N467" s="17"/>
    </row>
    <row r="468" spans="1:47" ht="12.75">
      <c r="A468" s="37"/>
      <c r="B468" s="44" t="s">
        <v>61</v>
      </c>
      <c r="C468" s="44" t="s">
        <v>371</v>
      </c>
      <c r="D468" s="139" t="s">
        <v>802</v>
      </c>
      <c r="E468" s="140"/>
      <c r="F468" s="140"/>
      <c r="G468" s="140"/>
      <c r="H468" s="140"/>
      <c r="I468" s="140"/>
      <c r="J468" s="50" t="s">
        <v>59</v>
      </c>
      <c r="K468" s="50" t="s">
        <v>59</v>
      </c>
      <c r="L468" s="50" t="s">
        <v>59</v>
      </c>
      <c r="M468" s="64">
        <f>SUM(M469:M469)</f>
        <v>0</v>
      </c>
      <c r="N468" s="17"/>
      <c r="AI468" s="58" t="s">
        <v>61</v>
      </c>
      <c r="AS468" s="68">
        <f>SUM(AJ469:AJ469)</f>
        <v>0</v>
      </c>
      <c r="AT468" s="68">
        <f>SUM(AK469:AK469)</f>
        <v>0</v>
      </c>
      <c r="AU468" s="68">
        <f>SUM(AL469:AL469)</f>
        <v>0</v>
      </c>
    </row>
    <row r="469" spans="1:64" ht="12.75">
      <c r="A469" s="38" t="s">
        <v>182</v>
      </c>
      <c r="B469" s="45" t="s">
        <v>61</v>
      </c>
      <c r="C469" s="45" t="s">
        <v>372</v>
      </c>
      <c r="D469" s="141" t="s">
        <v>803</v>
      </c>
      <c r="E469" s="142"/>
      <c r="F469" s="142"/>
      <c r="G469" s="142"/>
      <c r="H469" s="142"/>
      <c r="I469" s="142"/>
      <c r="J469" s="45" t="s">
        <v>974</v>
      </c>
      <c r="K469" s="74">
        <v>367.197</v>
      </c>
      <c r="L469" s="53">
        <v>0</v>
      </c>
      <c r="M469" s="65">
        <f>K469*L469</f>
        <v>0</v>
      </c>
      <c r="N469" s="17"/>
      <c r="Z469" s="33">
        <f>IF(AQ469="5",BJ469,0)</f>
        <v>0</v>
      </c>
      <c r="AB469" s="33">
        <f>IF(AQ469="1",BH469,0)</f>
        <v>0</v>
      </c>
      <c r="AC469" s="33">
        <f>IF(AQ469="1",BI469,0)</f>
        <v>0</v>
      </c>
      <c r="AD469" s="33">
        <f>IF(AQ469="7",BH469,0)</f>
        <v>0</v>
      </c>
      <c r="AE469" s="33">
        <f>IF(AQ469="7",BI469,0)</f>
        <v>0</v>
      </c>
      <c r="AF469" s="33">
        <f>IF(AQ469="2",BH469,0)</f>
        <v>0</v>
      </c>
      <c r="AG469" s="33">
        <f>IF(AQ469="2",BI469,0)</f>
        <v>0</v>
      </c>
      <c r="AH469" s="33">
        <f>IF(AQ469="0",BJ469,0)</f>
        <v>0</v>
      </c>
      <c r="AI469" s="58" t="s">
        <v>61</v>
      </c>
      <c r="AJ469" s="53">
        <f>IF(AN469=0,M469,0)</f>
        <v>0</v>
      </c>
      <c r="AK469" s="53">
        <f>IF(AN469=15,M469,0)</f>
        <v>0</v>
      </c>
      <c r="AL469" s="53">
        <f>IF(AN469=21,M469,0)</f>
        <v>0</v>
      </c>
      <c r="AN469" s="33">
        <v>21</v>
      </c>
      <c r="AO469" s="33">
        <f>L469*0</f>
        <v>0</v>
      </c>
      <c r="AP469" s="33">
        <f>L469*(1-0)</f>
        <v>0</v>
      </c>
      <c r="AQ469" s="59" t="s">
        <v>84</v>
      </c>
      <c r="AV469" s="33">
        <f>AW469+AX469</f>
        <v>0</v>
      </c>
      <c r="AW469" s="33">
        <f>K469*AO469</f>
        <v>0</v>
      </c>
      <c r="AX469" s="33">
        <f>K469*AP469</f>
        <v>0</v>
      </c>
      <c r="AY469" s="61" t="s">
        <v>1012</v>
      </c>
      <c r="AZ469" s="61" t="s">
        <v>1026</v>
      </c>
      <c r="BA469" s="58" t="s">
        <v>1037</v>
      </c>
      <c r="BC469" s="33">
        <f>AW469+AX469</f>
        <v>0</v>
      </c>
      <c r="BD469" s="33">
        <f>L469/(100-BE469)*100</f>
        <v>0</v>
      </c>
      <c r="BE469" s="33">
        <v>0</v>
      </c>
      <c r="BF469" s="33">
        <f>469</f>
        <v>469</v>
      </c>
      <c r="BH469" s="53">
        <f>K469*AO469</f>
        <v>0</v>
      </c>
      <c r="BI469" s="53">
        <f>K469*AP469</f>
        <v>0</v>
      </c>
      <c r="BJ469" s="53">
        <f>K469*L469</f>
        <v>0</v>
      </c>
      <c r="BK469" s="53" t="s">
        <v>1046</v>
      </c>
      <c r="BL469" s="33" t="s">
        <v>371</v>
      </c>
    </row>
    <row r="470" spans="1:14" ht="12.75">
      <c r="A470" s="40"/>
      <c r="B470" s="47" t="s">
        <v>62</v>
      </c>
      <c r="C470" s="47"/>
      <c r="D470" s="150" t="s">
        <v>68</v>
      </c>
      <c r="E470" s="151"/>
      <c r="F470" s="151"/>
      <c r="G470" s="151"/>
      <c r="H470" s="151"/>
      <c r="I470" s="151"/>
      <c r="J470" s="51" t="s">
        <v>59</v>
      </c>
      <c r="K470" s="51" t="s">
        <v>59</v>
      </c>
      <c r="L470" s="51" t="s">
        <v>59</v>
      </c>
      <c r="M470" s="67">
        <f>M471+M475+M496+M505+M528+M539</f>
        <v>0</v>
      </c>
      <c r="N470" s="17"/>
    </row>
    <row r="471" spans="1:47" ht="12.75">
      <c r="A471" s="37"/>
      <c r="B471" s="44" t="s">
        <v>62</v>
      </c>
      <c r="C471" s="44" t="s">
        <v>97</v>
      </c>
      <c r="D471" s="139" t="s">
        <v>593</v>
      </c>
      <c r="E471" s="140"/>
      <c r="F471" s="140"/>
      <c r="G471" s="140"/>
      <c r="H471" s="140"/>
      <c r="I471" s="140"/>
      <c r="J471" s="50" t="s">
        <v>59</v>
      </c>
      <c r="K471" s="50" t="s">
        <v>59</v>
      </c>
      <c r="L471" s="50" t="s">
        <v>59</v>
      </c>
      <c r="M471" s="64">
        <f>SUM(M472:M472)</f>
        <v>0</v>
      </c>
      <c r="N471" s="17"/>
      <c r="AI471" s="58" t="s">
        <v>62</v>
      </c>
      <c r="AS471" s="68">
        <f>SUM(AJ472:AJ472)</f>
        <v>0</v>
      </c>
      <c r="AT471" s="68">
        <f>SUM(AK472:AK472)</f>
        <v>0</v>
      </c>
      <c r="AU471" s="68">
        <f>SUM(AL472:AL472)</f>
        <v>0</v>
      </c>
    </row>
    <row r="472" spans="1:64" ht="12.75">
      <c r="A472" s="38" t="s">
        <v>183</v>
      </c>
      <c r="B472" s="45" t="s">
        <v>62</v>
      </c>
      <c r="C472" s="45" t="s">
        <v>287</v>
      </c>
      <c r="D472" s="141" t="s">
        <v>594</v>
      </c>
      <c r="E472" s="142"/>
      <c r="F472" s="142"/>
      <c r="G472" s="142"/>
      <c r="H472" s="142"/>
      <c r="I472" s="142"/>
      <c r="J472" s="45" t="s">
        <v>972</v>
      </c>
      <c r="K472" s="74">
        <v>714</v>
      </c>
      <c r="L472" s="53">
        <v>0</v>
      </c>
      <c r="M472" s="65">
        <f>K472*L472</f>
        <v>0</v>
      </c>
      <c r="N472" s="17"/>
      <c r="Z472" s="33">
        <f>IF(AQ472="5",BJ472,0)</f>
        <v>0</v>
      </c>
      <c r="AB472" s="33">
        <f>IF(AQ472="1",BH472,0)</f>
        <v>0</v>
      </c>
      <c r="AC472" s="33">
        <f>IF(AQ472="1",BI472,0)</f>
        <v>0</v>
      </c>
      <c r="AD472" s="33">
        <f>IF(AQ472="7",BH472,0)</f>
        <v>0</v>
      </c>
      <c r="AE472" s="33">
        <f>IF(AQ472="7",BI472,0)</f>
        <v>0</v>
      </c>
      <c r="AF472" s="33">
        <f>IF(AQ472="2",BH472,0)</f>
        <v>0</v>
      </c>
      <c r="AG472" s="33">
        <f>IF(AQ472="2",BI472,0)</f>
        <v>0</v>
      </c>
      <c r="AH472" s="33">
        <f>IF(AQ472="0",BJ472,0)</f>
        <v>0</v>
      </c>
      <c r="AI472" s="58" t="s">
        <v>62</v>
      </c>
      <c r="AJ472" s="53">
        <f>IF(AN472=0,M472,0)</f>
        <v>0</v>
      </c>
      <c r="AK472" s="53">
        <f>IF(AN472=15,M472,0)</f>
        <v>0</v>
      </c>
      <c r="AL472" s="53">
        <f>IF(AN472=21,M472,0)</f>
        <v>0</v>
      </c>
      <c r="AN472" s="33">
        <v>21</v>
      </c>
      <c r="AO472" s="33">
        <f>L472*0</f>
        <v>0</v>
      </c>
      <c r="AP472" s="33">
        <f>L472*(1-0)</f>
        <v>0</v>
      </c>
      <c r="AQ472" s="59" t="s">
        <v>80</v>
      </c>
      <c r="AV472" s="33">
        <f>AW472+AX472</f>
        <v>0</v>
      </c>
      <c r="AW472" s="33">
        <f>K472*AO472</f>
        <v>0</v>
      </c>
      <c r="AX472" s="33">
        <f>K472*AP472</f>
        <v>0</v>
      </c>
      <c r="AY472" s="61" t="s">
        <v>995</v>
      </c>
      <c r="AZ472" s="61" t="s">
        <v>1027</v>
      </c>
      <c r="BA472" s="58" t="s">
        <v>1038</v>
      </c>
      <c r="BC472" s="33">
        <f>AW472+AX472</f>
        <v>0</v>
      </c>
      <c r="BD472" s="33">
        <f>L472/(100-BE472)*100</f>
        <v>0</v>
      </c>
      <c r="BE472" s="33">
        <v>0</v>
      </c>
      <c r="BF472" s="33">
        <f>472</f>
        <v>472</v>
      </c>
      <c r="BH472" s="53">
        <f>K472*AO472</f>
        <v>0</v>
      </c>
      <c r="BI472" s="53">
        <f>K472*AP472</f>
        <v>0</v>
      </c>
      <c r="BJ472" s="53">
        <f>K472*L472</f>
        <v>0</v>
      </c>
      <c r="BK472" s="53" t="s">
        <v>1046</v>
      </c>
      <c r="BL472" s="33">
        <v>18</v>
      </c>
    </row>
    <row r="473" spans="1:14" ht="12.75">
      <c r="A473" s="17"/>
      <c r="D473" s="143" t="s">
        <v>804</v>
      </c>
      <c r="E473" s="144"/>
      <c r="F473" s="144"/>
      <c r="G473" s="144"/>
      <c r="H473" s="144"/>
      <c r="I473" s="144"/>
      <c r="K473" s="75">
        <v>879</v>
      </c>
      <c r="M473" s="14"/>
      <c r="N473" s="17"/>
    </row>
    <row r="474" spans="1:14" ht="12.75">
      <c r="A474" s="17"/>
      <c r="D474" s="143" t="s">
        <v>805</v>
      </c>
      <c r="E474" s="144"/>
      <c r="F474" s="144"/>
      <c r="G474" s="144"/>
      <c r="H474" s="144"/>
      <c r="I474" s="144"/>
      <c r="K474" s="75">
        <v>-165</v>
      </c>
      <c r="M474" s="14"/>
      <c r="N474" s="17"/>
    </row>
    <row r="475" spans="1:47" ht="12.75">
      <c r="A475" s="37"/>
      <c r="B475" s="44" t="s">
        <v>62</v>
      </c>
      <c r="C475" s="44" t="s">
        <v>135</v>
      </c>
      <c r="D475" s="139" t="s">
        <v>806</v>
      </c>
      <c r="E475" s="140"/>
      <c r="F475" s="140"/>
      <c r="G475" s="140"/>
      <c r="H475" s="140"/>
      <c r="I475" s="140"/>
      <c r="J475" s="50" t="s">
        <v>59</v>
      </c>
      <c r="K475" s="50" t="s">
        <v>59</v>
      </c>
      <c r="L475" s="50" t="s">
        <v>59</v>
      </c>
      <c r="M475" s="64">
        <f>SUM(M476:M493)</f>
        <v>0</v>
      </c>
      <c r="N475" s="17"/>
      <c r="AI475" s="58" t="s">
        <v>62</v>
      </c>
      <c r="AS475" s="68">
        <f>SUM(AJ476:AJ493)</f>
        <v>0</v>
      </c>
      <c r="AT475" s="68">
        <f>SUM(AK476:AK493)</f>
        <v>0</v>
      </c>
      <c r="AU475" s="68">
        <f>SUM(AL476:AL493)</f>
        <v>0</v>
      </c>
    </row>
    <row r="476" spans="1:64" ht="12.75">
      <c r="A476" s="38" t="s">
        <v>184</v>
      </c>
      <c r="B476" s="45" t="s">
        <v>62</v>
      </c>
      <c r="C476" s="45" t="s">
        <v>373</v>
      </c>
      <c r="D476" s="141" t="s">
        <v>807</v>
      </c>
      <c r="E476" s="142"/>
      <c r="F476" s="142"/>
      <c r="G476" s="142"/>
      <c r="H476" s="142"/>
      <c r="I476" s="142"/>
      <c r="J476" s="45" t="s">
        <v>972</v>
      </c>
      <c r="K476" s="74">
        <v>714</v>
      </c>
      <c r="L476" s="53">
        <v>0</v>
      </c>
      <c r="M476" s="65">
        <f>K476*L476</f>
        <v>0</v>
      </c>
      <c r="N476" s="17"/>
      <c r="Z476" s="33">
        <f>IF(AQ476="5",BJ476,0)</f>
        <v>0</v>
      </c>
      <c r="AB476" s="33">
        <f>IF(AQ476="1",BH476,0)</f>
        <v>0</v>
      </c>
      <c r="AC476" s="33">
        <f>IF(AQ476="1",BI476,0)</f>
        <v>0</v>
      </c>
      <c r="AD476" s="33">
        <f>IF(AQ476="7",BH476,0)</f>
        <v>0</v>
      </c>
      <c r="AE476" s="33">
        <f>IF(AQ476="7",BI476,0)</f>
        <v>0</v>
      </c>
      <c r="AF476" s="33">
        <f>IF(AQ476="2",BH476,0)</f>
        <v>0</v>
      </c>
      <c r="AG476" s="33">
        <f>IF(AQ476="2",BI476,0)</f>
        <v>0</v>
      </c>
      <c r="AH476" s="33">
        <f>IF(AQ476="0",BJ476,0)</f>
        <v>0</v>
      </c>
      <c r="AI476" s="58" t="s">
        <v>62</v>
      </c>
      <c r="AJ476" s="53">
        <f>IF(AN476=0,M476,0)</f>
        <v>0</v>
      </c>
      <c r="AK476" s="53">
        <f>IF(AN476=15,M476,0)</f>
        <v>0</v>
      </c>
      <c r="AL476" s="53">
        <f>IF(AN476=21,M476,0)</f>
        <v>0</v>
      </c>
      <c r="AN476" s="33">
        <v>21</v>
      </c>
      <c r="AO476" s="33">
        <f>L476*0.815499228789901</f>
        <v>0</v>
      </c>
      <c r="AP476" s="33">
        <f>L476*(1-0.815499228789901)</f>
        <v>0</v>
      </c>
      <c r="AQ476" s="59" t="s">
        <v>80</v>
      </c>
      <c r="AV476" s="33">
        <f>AW476+AX476</f>
        <v>0</v>
      </c>
      <c r="AW476" s="33">
        <f>K476*AO476</f>
        <v>0</v>
      </c>
      <c r="AX476" s="33">
        <f>K476*AP476</f>
        <v>0</v>
      </c>
      <c r="AY476" s="61" t="s">
        <v>1013</v>
      </c>
      <c r="AZ476" s="61" t="s">
        <v>1028</v>
      </c>
      <c r="BA476" s="58" t="s">
        <v>1038</v>
      </c>
      <c r="BC476" s="33">
        <f>AW476+AX476</f>
        <v>0</v>
      </c>
      <c r="BD476" s="33">
        <f>L476/(100-BE476)*100</f>
        <v>0</v>
      </c>
      <c r="BE476" s="33">
        <v>0</v>
      </c>
      <c r="BF476" s="33">
        <f>476</f>
        <v>476</v>
      </c>
      <c r="BH476" s="53">
        <f>K476*AO476</f>
        <v>0</v>
      </c>
      <c r="BI476" s="53">
        <f>K476*AP476</f>
        <v>0</v>
      </c>
      <c r="BJ476" s="53">
        <f>K476*L476</f>
        <v>0</v>
      </c>
      <c r="BK476" s="53" t="s">
        <v>1046</v>
      </c>
      <c r="BL476" s="33">
        <v>56</v>
      </c>
    </row>
    <row r="477" spans="1:14" ht="12.75">
      <c r="A477" s="17"/>
      <c r="D477" s="143" t="s">
        <v>804</v>
      </c>
      <c r="E477" s="144"/>
      <c r="F477" s="144"/>
      <c r="G477" s="144"/>
      <c r="H477" s="144"/>
      <c r="I477" s="144"/>
      <c r="K477" s="75">
        <v>879</v>
      </c>
      <c r="M477" s="14"/>
      <c r="N477" s="17"/>
    </row>
    <row r="478" spans="1:14" ht="12.75">
      <c r="A478" s="17"/>
      <c r="D478" s="143" t="s">
        <v>805</v>
      </c>
      <c r="E478" s="144"/>
      <c r="F478" s="144"/>
      <c r="G478" s="144"/>
      <c r="H478" s="144"/>
      <c r="I478" s="144"/>
      <c r="K478" s="75">
        <v>-165</v>
      </c>
      <c r="M478" s="14"/>
      <c r="N478" s="17"/>
    </row>
    <row r="479" spans="1:64" ht="12.75">
      <c r="A479" s="38" t="s">
        <v>185</v>
      </c>
      <c r="B479" s="45" t="s">
        <v>62</v>
      </c>
      <c r="C479" s="45" t="s">
        <v>374</v>
      </c>
      <c r="D479" s="141" t="s">
        <v>808</v>
      </c>
      <c r="E479" s="142"/>
      <c r="F479" s="142"/>
      <c r="G479" s="142"/>
      <c r="H479" s="142"/>
      <c r="I479" s="142"/>
      <c r="J479" s="45" t="s">
        <v>972</v>
      </c>
      <c r="K479" s="74">
        <v>714</v>
      </c>
      <c r="L479" s="53">
        <v>0</v>
      </c>
      <c r="M479" s="65">
        <f>K479*L479</f>
        <v>0</v>
      </c>
      <c r="N479" s="17"/>
      <c r="Z479" s="33">
        <f>IF(AQ479="5",BJ479,0)</f>
        <v>0</v>
      </c>
      <c r="AB479" s="33">
        <f>IF(AQ479="1",BH479,0)</f>
        <v>0</v>
      </c>
      <c r="AC479" s="33">
        <f>IF(AQ479="1",BI479,0)</f>
        <v>0</v>
      </c>
      <c r="AD479" s="33">
        <f>IF(AQ479="7",BH479,0)</f>
        <v>0</v>
      </c>
      <c r="AE479" s="33">
        <f>IF(AQ479="7",BI479,0)</f>
        <v>0</v>
      </c>
      <c r="AF479" s="33">
        <f>IF(AQ479="2",BH479,0)</f>
        <v>0</v>
      </c>
      <c r="AG479" s="33">
        <f>IF(AQ479="2",BI479,0)</f>
        <v>0</v>
      </c>
      <c r="AH479" s="33">
        <f>IF(AQ479="0",BJ479,0)</f>
        <v>0</v>
      </c>
      <c r="AI479" s="58" t="s">
        <v>62</v>
      </c>
      <c r="AJ479" s="53">
        <f>IF(AN479=0,M479,0)</f>
        <v>0</v>
      </c>
      <c r="AK479" s="53">
        <f>IF(AN479=15,M479,0)</f>
        <v>0</v>
      </c>
      <c r="AL479" s="53">
        <f>IF(AN479=21,M479,0)</f>
        <v>0</v>
      </c>
      <c r="AN479" s="33">
        <v>21</v>
      </c>
      <c r="AO479" s="33">
        <f>L479*0.719634890664347</f>
        <v>0</v>
      </c>
      <c r="AP479" s="33">
        <f>L479*(1-0.719634890664347)</f>
        <v>0</v>
      </c>
      <c r="AQ479" s="59" t="s">
        <v>80</v>
      </c>
      <c r="AV479" s="33">
        <f>AW479+AX479</f>
        <v>0</v>
      </c>
      <c r="AW479" s="33">
        <f>K479*AO479</f>
        <v>0</v>
      </c>
      <c r="AX479" s="33">
        <f>K479*AP479</f>
        <v>0</v>
      </c>
      <c r="AY479" s="61" t="s">
        <v>1013</v>
      </c>
      <c r="AZ479" s="61" t="s">
        <v>1028</v>
      </c>
      <c r="BA479" s="58" t="s">
        <v>1038</v>
      </c>
      <c r="BC479" s="33">
        <f>AW479+AX479</f>
        <v>0</v>
      </c>
      <c r="BD479" s="33">
        <f>L479/(100-BE479)*100</f>
        <v>0</v>
      </c>
      <c r="BE479" s="33">
        <v>0</v>
      </c>
      <c r="BF479" s="33">
        <f>479</f>
        <v>479</v>
      </c>
      <c r="BH479" s="53">
        <f>K479*AO479</f>
        <v>0</v>
      </c>
      <c r="BI479" s="53">
        <f>K479*AP479</f>
        <v>0</v>
      </c>
      <c r="BJ479" s="53">
        <f>K479*L479</f>
        <v>0</v>
      </c>
      <c r="BK479" s="53" t="s">
        <v>1046</v>
      </c>
      <c r="BL479" s="33">
        <v>56</v>
      </c>
    </row>
    <row r="480" spans="1:14" ht="12.75">
      <c r="A480" s="17"/>
      <c r="C480" s="48" t="s">
        <v>269</v>
      </c>
      <c r="D480" s="145" t="s">
        <v>809</v>
      </c>
      <c r="E480" s="146"/>
      <c r="F480" s="146"/>
      <c r="G480" s="146"/>
      <c r="H480" s="146"/>
      <c r="I480" s="146"/>
      <c r="J480" s="146"/>
      <c r="K480" s="146"/>
      <c r="L480" s="146"/>
      <c r="M480" s="147"/>
      <c r="N480" s="17"/>
    </row>
    <row r="481" spans="1:14" ht="12.75">
      <c r="A481" s="17"/>
      <c r="D481" s="143" t="s">
        <v>804</v>
      </c>
      <c r="E481" s="144"/>
      <c r="F481" s="144"/>
      <c r="G481" s="144"/>
      <c r="H481" s="144"/>
      <c r="I481" s="144"/>
      <c r="K481" s="75">
        <v>879</v>
      </c>
      <c r="M481" s="14"/>
      <c r="N481" s="17"/>
    </row>
    <row r="482" spans="1:14" ht="12.75">
      <c r="A482" s="17"/>
      <c r="D482" s="143" t="s">
        <v>805</v>
      </c>
      <c r="E482" s="144"/>
      <c r="F482" s="144"/>
      <c r="G482" s="144"/>
      <c r="H482" s="144"/>
      <c r="I482" s="144"/>
      <c r="K482" s="75">
        <v>-165</v>
      </c>
      <c r="M482" s="14"/>
      <c r="N482" s="17"/>
    </row>
    <row r="483" spans="1:64" ht="12.75">
      <c r="A483" s="38" t="s">
        <v>186</v>
      </c>
      <c r="B483" s="45" t="s">
        <v>62</v>
      </c>
      <c r="C483" s="45" t="s">
        <v>375</v>
      </c>
      <c r="D483" s="141" t="s">
        <v>810</v>
      </c>
      <c r="E483" s="142"/>
      <c r="F483" s="142"/>
      <c r="G483" s="142"/>
      <c r="H483" s="142"/>
      <c r="I483" s="142"/>
      <c r="J483" s="45" t="s">
        <v>972</v>
      </c>
      <c r="K483" s="74">
        <v>714</v>
      </c>
      <c r="L483" s="53">
        <v>0</v>
      </c>
      <c r="M483" s="65">
        <f>K483*L483</f>
        <v>0</v>
      </c>
      <c r="N483" s="17"/>
      <c r="Z483" s="33">
        <f>IF(AQ483="5",BJ483,0)</f>
        <v>0</v>
      </c>
      <c r="AB483" s="33">
        <f>IF(AQ483="1",BH483,0)</f>
        <v>0</v>
      </c>
      <c r="AC483" s="33">
        <f>IF(AQ483="1",BI483,0)</f>
        <v>0</v>
      </c>
      <c r="AD483" s="33">
        <f>IF(AQ483="7",BH483,0)</f>
        <v>0</v>
      </c>
      <c r="AE483" s="33">
        <f>IF(AQ483="7",BI483,0)</f>
        <v>0</v>
      </c>
      <c r="AF483" s="33">
        <f>IF(AQ483="2",BH483,0)</f>
        <v>0</v>
      </c>
      <c r="AG483" s="33">
        <f>IF(AQ483="2",BI483,0)</f>
        <v>0</v>
      </c>
      <c r="AH483" s="33">
        <f>IF(AQ483="0",BJ483,0)</f>
        <v>0</v>
      </c>
      <c r="AI483" s="58" t="s">
        <v>62</v>
      </c>
      <c r="AJ483" s="53">
        <f>IF(AN483=0,M483,0)</f>
        <v>0</v>
      </c>
      <c r="AK483" s="53">
        <f>IF(AN483=15,M483,0)</f>
        <v>0</v>
      </c>
      <c r="AL483" s="53">
        <f>IF(AN483=21,M483,0)</f>
        <v>0</v>
      </c>
      <c r="AN483" s="33">
        <v>21</v>
      </c>
      <c r="AO483" s="33">
        <f>L483*0.862479784366577</f>
        <v>0</v>
      </c>
      <c r="AP483" s="33">
        <f>L483*(1-0.862479784366577)</f>
        <v>0</v>
      </c>
      <c r="AQ483" s="59" t="s">
        <v>80</v>
      </c>
      <c r="AV483" s="33">
        <f>AW483+AX483</f>
        <v>0</v>
      </c>
      <c r="AW483" s="33">
        <f>K483*AO483</f>
        <v>0</v>
      </c>
      <c r="AX483" s="33">
        <f>K483*AP483</f>
        <v>0</v>
      </c>
      <c r="AY483" s="61" t="s">
        <v>1013</v>
      </c>
      <c r="AZ483" s="61" t="s">
        <v>1028</v>
      </c>
      <c r="BA483" s="58" t="s">
        <v>1038</v>
      </c>
      <c r="BC483" s="33">
        <f>AW483+AX483</f>
        <v>0</v>
      </c>
      <c r="BD483" s="33">
        <f>L483/(100-BE483)*100</f>
        <v>0</v>
      </c>
      <c r="BE483" s="33">
        <v>0</v>
      </c>
      <c r="BF483" s="33">
        <f>483</f>
        <v>483</v>
      </c>
      <c r="BH483" s="53">
        <f>K483*AO483</f>
        <v>0</v>
      </c>
      <c r="BI483" s="53">
        <f>K483*AP483</f>
        <v>0</v>
      </c>
      <c r="BJ483" s="53">
        <f>K483*L483</f>
        <v>0</v>
      </c>
      <c r="BK483" s="53" t="s">
        <v>1046</v>
      </c>
      <c r="BL483" s="33">
        <v>56</v>
      </c>
    </row>
    <row r="484" spans="1:14" ht="12.75">
      <c r="A484" s="17"/>
      <c r="C484" s="48" t="s">
        <v>269</v>
      </c>
      <c r="D484" s="145" t="s">
        <v>811</v>
      </c>
      <c r="E484" s="146"/>
      <c r="F484" s="146"/>
      <c r="G484" s="146"/>
      <c r="H484" s="146"/>
      <c r="I484" s="146"/>
      <c r="J484" s="146"/>
      <c r="K484" s="146"/>
      <c r="L484" s="146"/>
      <c r="M484" s="147"/>
      <c r="N484" s="17"/>
    </row>
    <row r="485" spans="1:14" ht="12.75">
      <c r="A485" s="17"/>
      <c r="D485" s="143" t="s">
        <v>804</v>
      </c>
      <c r="E485" s="144"/>
      <c r="F485" s="144"/>
      <c r="G485" s="144"/>
      <c r="H485" s="144"/>
      <c r="I485" s="144"/>
      <c r="K485" s="75">
        <v>879</v>
      </c>
      <c r="M485" s="14"/>
      <c r="N485" s="17"/>
    </row>
    <row r="486" spans="1:14" ht="12.75">
      <c r="A486" s="17"/>
      <c r="D486" s="143" t="s">
        <v>805</v>
      </c>
      <c r="E486" s="144"/>
      <c r="F486" s="144"/>
      <c r="G486" s="144"/>
      <c r="H486" s="144"/>
      <c r="I486" s="144"/>
      <c r="K486" s="75">
        <v>-165</v>
      </c>
      <c r="M486" s="14"/>
      <c r="N486" s="17"/>
    </row>
    <row r="487" spans="1:64" ht="12.75">
      <c r="A487" s="38" t="s">
        <v>187</v>
      </c>
      <c r="B487" s="45" t="s">
        <v>62</v>
      </c>
      <c r="C487" s="45" t="s">
        <v>376</v>
      </c>
      <c r="D487" s="141" t="s">
        <v>812</v>
      </c>
      <c r="E487" s="142"/>
      <c r="F487" s="142"/>
      <c r="G487" s="142"/>
      <c r="H487" s="142"/>
      <c r="I487" s="142"/>
      <c r="J487" s="45" t="s">
        <v>972</v>
      </c>
      <c r="K487" s="74">
        <v>714</v>
      </c>
      <c r="L487" s="53">
        <v>0</v>
      </c>
      <c r="M487" s="65">
        <f>K487*L487</f>
        <v>0</v>
      </c>
      <c r="N487" s="17"/>
      <c r="Z487" s="33">
        <f>IF(AQ487="5",BJ487,0)</f>
        <v>0</v>
      </c>
      <c r="AB487" s="33">
        <f>IF(AQ487="1",BH487,0)</f>
        <v>0</v>
      </c>
      <c r="AC487" s="33">
        <f>IF(AQ487="1",BI487,0)</f>
        <v>0</v>
      </c>
      <c r="AD487" s="33">
        <f>IF(AQ487="7",BH487,0)</f>
        <v>0</v>
      </c>
      <c r="AE487" s="33">
        <f>IF(AQ487="7",BI487,0)</f>
        <v>0</v>
      </c>
      <c r="AF487" s="33">
        <f>IF(AQ487="2",BH487,0)</f>
        <v>0</v>
      </c>
      <c r="AG487" s="33">
        <f>IF(AQ487="2",BI487,0)</f>
        <v>0</v>
      </c>
      <c r="AH487" s="33">
        <f>IF(AQ487="0",BJ487,0)</f>
        <v>0</v>
      </c>
      <c r="AI487" s="58" t="s">
        <v>62</v>
      </c>
      <c r="AJ487" s="53">
        <f>IF(AN487=0,M487,0)</f>
        <v>0</v>
      </c>
      <c r="AK487" s="53">
        <f>IF(AN487=15,M487,0)</f>
        <v>0</v>
      </c>
      <c r="AL487" s="53">
        <f>IF(AN487=21,M487,0)</f>
        <v>0</v>
      </c>
      <c r="AN487" s="33">
        <v>21</v>
      </c>
      <c r="AO487" s="33">
        <f>L487*0.863833718244804</f>
        <v>0</v>
      </c>
      <c r="AP487" s="33">
        <f>L487*(1-0.863833718244804)</f>
        <v>0</v>
      </c>
      <c r="AQ487" s="59" t="s">
        <v>80</v>
      </c>
      <c r="AV487" s="33">
        <f>AW487+AX487</f>
        <v>0</v>
      </c>
      <c r="AW487" s="33">
        <f>K487*AO487</f>
        <v>0</v>
      </c>
      <c r="AX487" s="33">
        <f>K487*AP487</f>
        <v>0</v>
      </c>
      <c r="AY487" s="61" t="s">
        <v>1013</v>
      </c>
      <c r="AZ487" s="61" t="s">
        <v>1028</v>
      </c>
      <c r="BA487" s="58" t="s">
        <v>1038</v>
      </c>
      <c r="BC487" s="33">
        <f>AW487+AX487</f>
        <v>0</v>
      </c>
      <c r="BD487" s="33">
        <f>L487/(100-BE487)*100</f>
        <v>0</v>
      </c>
      <c r="BE487" s="33">
        <v>0</v>
      </c>
      <c r="BF487" s="33">
        <f>487</f>
        <v>487</v>
      </c>
      <c r="BH487" s="53">
        <f>K487*AO487</f>
        <v>0</v>
      </c>
      <c r="BI487" s="53">
        <f>K487*AP487</f>
        <v>0</v>
      </c>
      <c r="BJ487" s="53">
        <f>K487*L487</f>
        <v>0</v>
      </c>
      <c r="BK487" s="53" t="s">
        <v>1046</v>
      </c>
      <c r="BL487" s="33">
        <v>56</v>
      </c>
    </row>
    <row r="488" spans="1:14" ht="12.75">
      <c r="A488" s="17"/>
      <c r="C488" s="48" t="s">
        <v>269</v>
      </c>
      <c r="D488" s="145" t="s">
        <v>811</v>
      </c>
      <c r="E488" s="146"/>
      <c r="F488" s="146"/>
      <c r="G488" s="146"/>
      <c r="H488" s="146"/>
      <c r="I488" s="146"/>
      <c r="J488" s="146"/>
      <c r="K488" s="146"/>
      <c r="L488" s="146"/>
      <c r="M488" s="147"/>
      <c r="N488" s="17"/>
    </row>
    <row r="489" spans="1:14" ht="12.75">
      <c r="A489" s="17"/>
      <c r="D489" s="143" t="s">
        <v>804</v>
      </c>
      <c r="E489" s="144"/>
      <c r="F489" s="144"/>
      <c r="G489" s="144"/>
      <c r="H489" s="144"/>
      <c r="I489" s="144"/>
      <c r="K489" s="75">
        <v>879</v>
      </c>
      <c r="M489" s="14"/>
      <c r="N489" s="17"/>
    </row>
    <row r="490" spans="1:14" ht="12.75">
      <c r="A490" s="17"/>
      <c r="D490" s="143" t="s">
        <v>805</v>
      </c>
      <c r="E490" s="144"/>
      <c r="F490" s="144"/>
      <c r="G490" s="144"/>
      <c r="H490" s="144"/>
      <c r="I490" s="144"/>
      <c r="K490" s="75">
        <v>-165</v>
      </c>
      <c r="M490" s="14"/>
      <c r="N490" s="17"/>
    </row>
    <row r="491" spans="1:64" ht="12.75">
      <c r="A491" s="38" t="s">
        <v>188</v>
      </c>
      <c r="B491" s="45" t="s">
        <v>62</v>
      </c>
      <c r="C491" s="45" t="s">
        <v>377</v>
      </c>
      <c r="D491" s="141" t="s">
        <v>813</v>
      </c>
      <c r="E491" s="142"/>
      <c r="F491" s="142"/>
      <c r="G491" s="142"/>
      <c r="H491" s="142"/>
      <c r="I491" s="142"/>
      <c r="J491" s="45" t="s">
        <v>972</v>
      </c>
      <c r="K491" s="74">
        <v>165</v>
      </c>
      <c r="L491" s="53">
        <v>0</v>
      </c>
      <c r="M491" s="65">
        <f>K491*L491</f>
        <v>0</v>
      </c>
      <c r="N491" s="17"/>
      <c r="Z491" s="33">
        <f>IF(AQ491="5",BJ491,0)</f>
        <v>0</v>
      </c>
      <c r="AB491" s="33">
        <f>IF(AQ491="1",BH491,0)</f>
        <v>0</v>
      </c>
      <c r="AC491" s="33">
        <f>IF(AQ491="1",BI491,0)</f>
        <v>0</v>
      </c>
      <c r="AD491" s="33">
        <f>IF(AQ491="7",BH491,0)</f>
        <v>0</v>
      </c>
      <c r="AE491" s="33">
        <f>IF(AQ491="7",BI491,0)</f>
        <v>0</v>
      </c>
      <c r="AF491" s="33">
        <f>IF(AQ491="2",BH491,0)</f>
        <v>0</v>
      </c>
      <c r="AG491" s="33">
        <f>IF(AQ491="2",BI491,0)</f>
        <v>0</v>
      </c>
      <c r="AH491" s="33">
        <f>IF(AQ491="0",BJ491,0)</f>
        <v>0</v>
      </c>
      <c r="AI491" s="58" t="s">
        <v>62</v>
      </c>
      <c r="AJ491" s="53">
        <f>IF(AN491=0,M491,0)</f>
        <v>0</v>
      </c>
      <c r="AK491" s="53">
        <f>IF(AN491=15,M491,0)</f>
        <v>0</v>
      </c>
      <c r="AL491" s="53">
        <f>IF(AN491=21,M491,0)</f>
        <v>0</v>
      </c>
      <c r="AN491" s="33">
        <v>21</v>
      </c>
      <c r="AO491" s="33">
        <f>L491*0</f>
        <v>0</v>
      </c>
      <c r="AP491" s="33">
        <f>L491*(1-0)</f>
        <v>0</v>
      </c>
      <c r="AQ491" s="59" t="s">
        <v>80</v>
      </c>
      <c r="AV491" s="33">
        <f>AW491+AX491</f>
        <v>0</v>
      </c>
      <c r="AW491" s="33">
        <f>K491*AO491</f>
        <v>0</v>
      </c>
      <c r="AX491" s="33">
        <f>K491*AP491</f>
        <v>0</v>
      </c>
      <c r="AY491" s="61" t="s">
        <v>1013</v>
      </c>
      <c r="AZ491" s="61" t="s">
        <v>1028</v>
      </c>
      <c r="BA491" s="58" t="s">
        <v>1038</v>
      </c>
      <c r="BC491" s="33">
        <f>AW491+AX491</f>
        <v>0</v>
      </c>
      <c r="BD491" s="33">
        <f>L491/(100-BE491)*100</f>
        <v>0</v>
      </c>
      <c r="BE491" s="33">
        <v>0</v>
      </c>
      <c r="BF491" s="33">
        <f>491</f>
        <v>491</v>
      </c>
      <c r="BH491" s="53">
        <f>K491*AO491</f>
        <v>0</v>
      </c>
      <c r="BI491" s="53">
        <f>K491*AP491</f>
        <v>0</v>
      </c>
      <c r="BJ491" s="53">
        <f>K491*L491</f>
        <v>0</v>
      </c>
      <c r="BK491" s="53" t="s">
        <v>1046</v>
      </c>
      <c r="BL491" s="33">
        <v>56</v>
      </c>
    </row>
    <row r="492" spans="1:14" ht="12.75">
      <c r="A492" s="17"/>
      <c r="D492" s="143" t="s">
        <v>814</v>
      </c>
      <c r="E492" s="144"/>
      <c r="F492" s="144"/>
      <c r="G492" s="144"/>
      <c r="H492" s="144"/>
      <c r="I492" s="144"/>
      <c r="K492" s="75">
        <v>165</v>
      </c>
      <c r="M492" s="14"/>
      <c r="N492" s="17"/>
    </row>
    <row r="493" spans="1:64" ht="12.75">
      <c r="A493" s="39" t="s">
        <v>189</v>
      </c>
      <c r="B493" s="46" t="s">
        <v>62</v>
      </c>
      <c r="C493" s="46" t="s">
        <v>378</v>
      </c>
      <c r="D493" s="148" t="s">
        <v>815</v>
      </c>
      <c r="E493" s="149"/>
      <c r="F493" s="149"/>
      <c r="G493" s="149"/>
      <c r="H493" s="149"/>
      <c r="I493" s="149"/>
      <c r="J493" s="46" t="s">
        <v>972</v>
      </c>
      <c r="K493" s="78">
        <v>181.5</v>
      </c>
      <c r="L493" s="54">
        <v>0</v>
      </c>
      <c r="M493" s="66">
        <f>K493*L493</f>
        <v>0</v>
      </c>
      <c r="N493" s="17"/>
      <c r="Z493" s="33">
        <f>IF(AQ493="5",BJ493,0)</f>
        <v>0</v>
      </c>
      <c r="AB493" s="33">
        <f>IF(AQ493="1",BH493,0)</f>
        <v>0</v>
      </c>
      <c r="AC493" s="33">
        <f>IF(AQ493="1",BI493,0)</f>
        <v>0</v>
      </c>
      <c r="AD493" s="33">
        <f>IF(AQ493="7",BH493,0)</f>
        <v>0</v>
      </c>
      <c r="AE493" s="33">
        <f>IF(AQ493="7",BI493,0)</f>
        <v>0</v>
      </c>
      <c r="AF493" s="33">
        <f>IF(AQ493="2",BH493,0)</f>
        <v>0</v>
      </c>
      <c r="AG493" s="33">
        <f>IF(AQ493="2",BI493,0)</f>
        <v>0</v>
      </c>
      <c r="AH493" s="33">
        <f>IF(AQ493="0",BJ493,0)</f>
        <v>0</v>
      </c>
      <c r="AI493" s="58" t="s">
        <v>62</v>
      </c>
      <c r="AJ493" s="54">
        <f>IF(AN493=0,M493,0)</f>
        <v>0</v>
      </c>
      <c r="AK493" s="54">
        <f>IF(AN493=15,M493,0)</f>
        <v>0</v>
      </c>
      <c r="AL493" s="54">
        <f>IF(AN493=21,M493,0)</f>
        <v>0</v>
      </c>
      <c r="AN493" s="33">
        <v>21</v>
      </c>
      <c r="AO493" s="33">
        <f>L493*1</f>
        <v>0</v>
      </c>
      <c r="AP493" s="33">
        <f>L493*(1-1)</f>
        <v>0</v>
      </c>
      <c r="AQ493" s="60" t="s">
        <v>80</v>
      </c>
      <c r="AV493" s="33">
        <f>AW493+AX493</f>
        <v>0</v>
      </c>
      <c r="AW493" s="33">
        <f>K493*AO493</f>
        <v>0</v>
      </c>
      <c r="AX493" s="33">
        <f>K493*AP493</f>
        <v>0</v>
      </c>
      <c r="AY493" s="61" t="s">
        <v>1013</v>
      </c>
      <c r="AZ493" s="61" t="s">
        <v>1028</v>
      </c>
      <c r="BA493" s="58" t="s">
        <v>1038</v>
      </c>
      <c r="BC493" s="33">
        <f>AW493+AX493</f>
        <v>0</v>
      </c>
      <c r="BD493" s="33">
        <f>L493/(100-BE493)*100</f>
        <v>0</v>
      </c>
      <c r="BE493" s="33">
        <v>0</v>
      </c>
      <c r="BF493" s="33">
        <f>493</f>
        <v>493</v>
      </c>
      <c r="BH493" s="54">
        <f>K493*AO493</f>
        <v>0</v>
      </c>
      <c r="BI493" s="54">
        <f>K493*AP493</f>
        <v>0</v>
      </c>
      <c r="BJ493" s="54">
        <f>K493*L493</f>
        <v>0</v>
      </c>
      <c r="BK493" s="54" t="s">
        <v>1047</v>
      </c>
      <c r="BL493" s="33">
        <v>56</v>
      </c>
    </row>
    <row r="494" spans="1:14" ht="12.75">
      <c r="A494" s="17"/>
      <c r="D494" s="143" t="s">
        <v>816</v>
      </c>
      <c r="E494" s="144"/>
      <c r="F494" s="144"/>
      <c r="G494" s="144"/>
      <c r="H494" s="144"/>
      <c r="I494" s="144"/>
      <c r="K494" s="75">
        <v>165</v>
      </c>
      <c r="M494" s="14"/>
      <c r="N494" s="17"/>
    </row>
    <row r="495" spans="1:14" ht="12.75">
      <c r="A495" s="17"/>
      <c r="D495" s="143" t="s">
        <v>817</v>
      </c>
      <c r="E495" s="144"/>
      <c r="F495" s="144"/>
      <c r="G495" s="144"/>
      <c r="H495" s="144"/>
      <c r="I495" s="144"/>
      <c r="K495" s="75">
        <v>16.5</v>
      </c>
      <c r="M495" s="14"/>
      <c r="N495" s="17"/>
    </row>
    <row r="496" spans="1:47" ht="12.75">
      <c r="A496" s="37"/>
      <c r="B496" s="44" t="s">
        <v>62</v>
      </c>
      <c r="C496" s="44" t="s">
        <v>138</v>
      </c>
      <c r="D496" s="139" t="s">
        <v>636</v>
      </c>
      <c r="E496" s="140"/>
      <c r="F496" s="140"/>
      <c r="G496" s="140"/>
      <c r="H496" s="140"/>
      <c r="I496" s="140"/>
      <c r="J496" s="50" t="s">
        <v>59</v>
      </c>
      <c r="K496" s="50" t="s">
        <v>59</v>
      </c>
      <c r="L496" s="50" t="s">
        <v>59</v>
      </c>
      <c r="M496" s="64">
        <f>SUM(M497:M502)</f>
        <v>0</v>
      </c>
      <c r="N496" s="17"/>
      <c r="AI496" s="58" t="s">
        <v>62</v>
      </c>
      <c r="AS496" s="68">
        <f>SUM(AJ497:AJ502)</f>
        <v>0</v>
      </c>
      <c r="AT496" s="68">
        <f>SUM(AK497:AK502)</f>
        <v>0</v>
      </c>
      <c r="AU496" s="68">
        <f>SUM(AL497:AL502)</f>
        <v>0</v>
      </c>
    </row>
    <row r="497" spans="1:64" ht="12.75">
      <c r="A497" s="38" t="s">
        <v>190</v>
      </c>
      <c r="B497" s="45" t="s">
        <v>62</v>
      </c>
      <c r="C497" s="45" t="s">
        <v>379</v>
      </c>
      <c r="D497" s="141" t="s">
        <v>818</v>
      </c>
      <c r="E497" s="142"/>
      <c r="F497" s="142"/>
      <c r="G497" s="142"/>
      <c r="H497" s="142"/>
      <c r="I497" s="142"/>
      <c r="J497" s="45" t="s">
        <v>972</v>
      </c>
      <c r="K497" s="74">
        <v>879</v>
      </c>
      <c r="L497" s="53">
        <v>0</v>
      </c>
      <c r="M497" s="65">
        <f>K497*L497</f>
        <v>0</v>
      </c>
      <c r="N497" s="17"/>
      <c r="Z497" s="33">
        <f>IF(AQ497="5",BJ497,0)</f>
        <v>0</v>
      </c>
      <c r="AB497" s="33">
        <f>IF(AQ497="1",BH497,0)</f>
        <v>0</v>
      </c>
      <c r="AC497" s="33">
        <f>IF(AQ497="1",BI497,0)</f>
        <v>0</v>
      </c>
      <c r="AD497" s="33">
        <f>IF(AQ497="7",BH497,0)</f>
        <v>0</v>
      </c>
      <c r="AE497" s="33">
        <f>IF(AQ497="7",BI497,0)</f>
        <v>0</v>
      </c>
      <c r="AF497" s="33">
        <f>IF(AQ497="2",BH497,0)</f>
        <v>0</v>
      </c>
      <c r="AG497" s="33">
        <f>IF(AQ497="2",BI497,0)</f>
        <v>0</v>
      </c>
      <c r="AH497" s="33">
        <f>IF(AQ497="0",BJ497,0)</f>
        <v>0</v>
      </c>
      <c r="AI497" s="58" t="s">
        <v>62</v>
      </c>
      <c r="AJ497" s="53">
        <f>IF(AN497=0,M497,0)</f>
        <v>0</v>
      </c>
      <c r="AK497" s="53">
        <f>IF(AN497=15,M497,0)</f>
        <v>0</v>
      </c>
      <c r="AL497" s="53">
        <f>IF(AN497=21,M497,0)</f>
        <v>0</v>
      </c>
      <c r="AN497" s="33">
        <v>21</v>
      </c>
      <c r="AO497" s="33">
        <f>L497*0.148384754990926</f>
        <v>0</v>
      </c>
      <c r="AP497" s="33">
        <f>L497*(1-0.148384754990926)</f>
        <v>0</v>
      </c>
      <c r="AQ497" s="59" t="s">
        <v>80</v>
      </c>
      <c r="AV497" s="33">
        <f>AW497+AX497</f>
        <v>0</v>
      </c>
      <c r="AW497" s="33">
        <f>K497*AO497</f>
        <v>0</v>
      </c>
      <c r="AX497" s="33">
        <f>K497*AP497</f>
        <v>0</v>
      </c>
      <c r="AY497" s="61" t="s">
        <v>1000</v>
      </c>
      <c r="AZ497" s="61" t="s">
        <v>1028</v>
      </c>
      <c r="BA497" s="58" t="s">
        <v>1038</v>
      </c>
      <c r="BC497" s="33">
        <f>AW497+AX497</f>
        <v>0</v>
      </c>
      <c r="BD497" s="33">
        <f>L497/(100-BE497)*100</f>
        <v>0</v>
      </c>
      <c r="BE497" s="33">
        <v>0</v>
      </c>
      <c r="BF497" s="33">
        <f>497</f>
        <v>497</v>
      </c>
      <c r="BH497" s="53">
        <f>K497*AO497</f>
        <v>0</v>
      </c>
      <c r="BI497" s="53">
        <f>K497*AP497</f>
        <v>0</v>
      </c>
      <c r="BJ497" s="53">
        <f>K497*L497</f>
        <v>0</v>
      </c>
      <c r="BK497" s="53" t="s">
        <v>1046</v>
      </c>
      <c r="BL497" s="33">
        <v>59</v>
      </c>
    </row>
    <row r="498" spans="1:14" ht="12.75">
      <c r="A498" s="17"/>
      <c r="D498" s="143" t="s">
        <v>819</v>
      </c>
      <c r="E498" s="144"/>
      <c r="F498" s="144"/>
      <c r="G498" s="144"/>
      <c r="H498" s="144"/>
      <c r="I498" s="144"/>
      <c r="K498" s="75">
        <v>287</v>
      </c>
      <c r="M498" s="14"/>
      <c r="N498" s="17"/>
    </row>
    <row r="499" spans="1:14" ht="12.75">
      <c r="A499" s="17"/>
      <c r="D499" s="143" t="s">
        <v>820</v>
      </c>
      <c r="E499" s="144"/>
      <c r="F499" s="144"/>
      <c r="G499" s="144"/>
      <c r="H499" s="144"/>
      <c r="I499" s="144"/>
      <c r="K499" s="75">
        <v>154</v>
      </c>
      <c r="M499" s="14"/>
      <c r="N499" s="17"/>
    </row>
    <row r="500" spans="1:14" ht="12.75">
      <c r="A500" s="17"/>
      <c r="D500" s="143" t="s">
        <v>821</v>
      </c>
      <c r="E500" s="144"/>
      <c r="F500" s="144"/>
      <c r="G500" s="144"/>
      <c r="H500" s="144"/>
      <c r="I500" s="144"/>
      <c r="K500" s="75">
        <v>219</v>
      </c>
      <c r="M500" s="14"/>
      <c r="N500" s="17"/>
    </row>
    <row r="501" spans="1:14" ht="12.75">
      <c r="A501" s="17"/>
      <c r="D501" s="143" t="s">
        <v>822</v>
      </c>
      <c r="E501" s="144"/>
      <c r="F501" s="144"/>
      <c r="G501" s="144"/>
      <c r="H501" s="144"/>
      <c r="I501" s="144"/>
      <c r="K501" s="75">
        <v>219</v>
      </c>
      <c r="M501" s="14"/>
      <c r="N501" s="17"/>
    </row>
    <row r="502" spans="1:64" ht="12.75">
      <c r="A502" s="39" t="s">
        <v>191</v>
      </c>
      <c r="B502" s="46" t="s">
        <v>62</v>
      </c>
      <c r="C502" s="46" t="s">
        <v>380</v>
      </c>
      <c r="D502" s="148" t="s">
        <v>823</v>
      </c>
      <c r="E502" s="149"/>
      <c r="F502" s="149"/>
      <c r="G502" s="149"/>
      <c r="H502" s="149"/>
      <c r="I502" s="149"/>
      <c r="J502" s="46" t="s">
        <v>972</v>
      </c>
      <c r="K502" s="78">
        <v>905.37</v>
      </c>
      <c r="L502" s="54">
        <v>0</v>
      </c>
      <c r="M502" s="66">
        <f>K502*L502</f>
        <v>0</v>
      </c>
      <c r="N502" s="17"/>
      <c r="Z502" s="33">
        <f>IF(AQ502="5",BJ502,0)</f>
        <v>0</v>
      </c>
      <c r="AB502" s="33">
        <f>IF(AQ502="1",BH502,0)</f>
        <v>0</v>
      </c>
      <c r="AC502" s="33">
        <f>IF(AQ502="1",BI502,0)</f>
        <v>0</v>
      </c>
      <c r="AD502" s="33">
        <f>IF(AQ502="7",BH502,0)</f>
        <v>0</v>
      </c>
      <c r="AE502" s="33">
        <f>IF(AQ502="7",BI502,0)</f>
        <v>0</v>
      </c>
      <c r="AF502" s="33">
        <f>IF(AQ502="2",BH502,0)</f>
        <v>0</v>
      </c>
      <c r="AG502" s="33">
        <f>IF(AQ502="2",BI502,0)</f>
        <v>0</v>
      </c>
      <c r="AH502" s="33">
        <f>IF(AQ502="0",BJ502,0)</f>
        <v>0</v>
      </c>
      <c r="AI502" s="58" t="s">
        <v>62</v>
      </c>
      <c r="AJ502" s="54">
        <f>IF(AN502=0,M502,0)</f>
        <v>0</v>
      </c>
      <c r="AK502" s="54">
        <f>IF(AN502=15,M502,0)</f>
        <v>0</v>
      </c>
      <c r="AL502" s="54">
        <f>IF(AN502=21,M502,0)</f>
        <v>0</v>
      </c>
      <c r="AN502" s="33">
        <v>21</v>
      </c>
      <c r="AO502" s="33">
        <f>L502*1</f>
        <v>0</v>
      </c>
      <c r="AP502" s="33">
        <f>L502*(1-1)</f>
        <v>0</v>
      </c>
      <c r="AQ502" s="60" t="s">
        <v>80</v>
      </c>
      <c r="AV502" s="33">
        <f>AW502+AX502</f>
        <v>0</v>
      </c>
      <c r="AW502" s="33">
        <f>K502*AO502</f>
        <v>0</v>
      </c>
      <c r="AX502" s="33">
        <f>K502*AP502</f>
        <v>0</v>
      </c>
      <c r="AY502" s="61" t="s">
        <v>1000</v>
      </c>
      <c r="AZ502" s="61" t="s">
        <v>1028</v>
      </c>
      <c r="BA502" s="58" t="s">
        <v>1038</v>
      </c>
      <c r="BC502" s="33">
        <f>AW502+AX502</f>
        <v>0</v>
      </c>
      <c r="BD502" s="33">
        <f>L502/(100-BE502)*100</f>
        <v>0</v>
      </c>
      <c r="BE502" s="33">
        <v>0</v>
      </c>
      <c r="BF502" s="33">
        <f>502</f>
        <v>502</v>
      </c>
      <c r="BH502" s="54">
        <f>K502*AO502</f>
        <v>0</v>
      </c>
      <c r="BI502" s="54">
        <f>K502*AP502</f>
        <v>0</v>
      </c>
      <c r="BJ502" s="54">
        <f>K502*L502</f>
        <v>0</v>
      </c>
      <c r="BK502" s="54" t="s">
        <v>1047</v>
      </c>
      <c r="BL502" s="33">
        <v>59</v>
      </c>
    </row>
    <row r="503" spans="1:14" ht="12.75">
      <c r="A503" s="17"/>
      <c r="D503" s="143" t="s">
        <v>824</v>
      </c>
      <c r="E503" s="144"/>
      <c r="F503" s="144"/>
      <c r="G503" s="144"/>
      <c r="H503" s="144"/>
      <c r="I503" s="144"/>
      <c r="K503" s="75">
        <v>879</v>
      </c>
      <c r="M503" s="14"/>
      <c r="N503" s="17"/>
    </row>
    <row r="504" spans="1:14" ht="12.75">
      <c r="A504" s="17"/>
      <c r="D504" s="143" t="s">
        <v>825</v>
      </c>
      <c r="E504" s="144"/>
      <c r="F504" s="144"/>
      <c r="G504" s="144"/>
      <c r="H504" s="144"/>
      <c r="I504" s="144"/>
      <c r="K504" s="75">
        <v>26.37</v>
      </c>
      <c r="M504" s="14"/>
      <c r="N504" s="17"/>
    </row>
    <row r="505" spans="1:47" ht="12.75">
      <c r="A505" s="37"/>
      <c r="B505" s="44" t="s">
        <v>62</v>
      </c>
      <c r="C505" s="44" t="s">
        <v>170</v>
      </c>
      <c r="D505" s="139" t="s">
        <v>761</v>
      </c>
      <c r="E505" s="140"/>
      <c r="F505" s="140"/>
      <c r="G505" s="140"/>
      <c r="H505" s="140"/>
      <c r="I505" s="140"/>
      <c r="J505" s="50" t="s">
        <v>59</v>
      </c>
      <c r="K505" s="50" t="s">
        <v>59</v>
      </c>
      <c r="L505" s="50" t="s">
        <v>59</v>
      </c>
      <c r="M505" s="64">
        <f>SUM(M506:M520)</f>
        <v>0</v>
      </c>
      <c r="N505" s="17"/>
      <c r="AI505" s="58" t="s">
        <v>62</v>
      </c>
      <c r="AS505" s="68">
        <f>SUM(AJ506:AJ520)</f>
        <v>0</v>
      </c>
      <c r="AT505" s="68">
        <f>SUM(AK506:AK520)</f>
        <v>0</v>
      </c>
      <c r="AU505" s="68">
        <f>SUM(AL506:AL520)</f>
        <v>0</v>
      </c>
    </row>
    <row r="506" spans="1:64" ht="12.75">
      <c r="A506" s="38" t="s">
        <v>192</v>
      </c>
      <c r="B506" s="45" t="s">
        <v>62</v>
      </c>
      <c r="C506" s="45" t="s">
        <v>352</v>
      </c>
      <c r="D506" s="141" t="s">
        <v>762</v>
      </c>
      <c r="E506" s="142"/>
      <c r="F506" s="142"/>
      <c r="G506" s="142"/>
      <c r="H506" s="142"/>
      <c r="I506" s="142"/>
      <c r="J506" s="45" t="s">
        <v>968</v>
      </c>
      <c r="K506" s="74">
        <v>235</v>
      </c>
      <c r="L506" s="53">
        <v>0</v>
      </c>
      <c r="M506" s="65">
        <f>K506*L506</f>
        <v>0</v>
      </c>
      <c r="N506" s="17"/>
      <c r="Z506" s="33">
        <f>IF(AQ506="5",BJ506,0)</f>
        <v>0</v>
      </c>
      <c r="AB506" s="33">
        <f>IF(AQ506="1",BH506,0)</f>
        <v>0</v>
      </c>
      <c r="AC506" s="33">
        <f>IF(AQ506="1",BI506,0)</f>
        <v>0</v>
      </c>
      <c r="AD506" s="33">
        <f>IF(AQ506="7",BH506,0)</f>
        <v>0</v>
      </c>
      <c r="AE506" s="33">
        <f>IF(AQ506="7",BI506,0)</f>
        <v>0</v>
      </c>
      <c r="AF506" s="33">
        <f>IF(AQ506="2",BH506,0)</f>
        <v>0</v>
      </c>
      <c r="AG506" s="33">
        <f>IF(AQ506="2",BI506,0)</f>
        <v>0</v>
      </c>
      <c r="AH506" s="33">
        <f>IF(AQ506="0",BJ506,0)</f>
        <v>0</v>
      </c>
      <c r="AI506" s="58" t="s">
        <v>62</v>
      </c>
      <c r="AJ506" s="53">
        <f>IF(AN506=0,M506,0)</f>
        <v>0</v>
      </c>
      <c r="AK506" s="53">
        <f>IF(AN506=15,M506,0)</f>
        <v>0</v>
      </c>
      <c r="AL506" s="53">
        <f>IF(AN506=21,M506,0)</f>
        <v>0</v>
      </c>
      <c r="AN506" s="33">
        <v>21</v>
      </c>
      <c r="AO506" s="33">
        <f>L506*0.669161603888214</f>
        <v>0</v>
      </c>
      <c r="AP506" s="33">
        <f>L506*(1-0.669161603888214)</f>
        <v>0</v>
      </c>
      <c r="AQ506" s="59" t="s">
        <v>80</v>
      </c>
      <c r="AV506" s="33">
        <f>AW506+AX506</f>
        <v>0</v>
      </c>
      <c r="AW506" s="33">
        <f>K506*AO506</f>
        <v>0</v>
      </c>
      <c r="AX506" s="33">
        <f>K506*AP506</f>
        <v>0</v>
      </c>
      <c r="AY506" s="61" t="s">
        <v>1007</v>
      </c>
      <c r="AZ506" s="61" t="s">
        <v>1029</v>
      </c>
      <c r="BA506" s="58" t="s">
        <v>1038</v>
      </c>
      <c r="BC506" s="33">
        <f>AW506+AX506</f>
        <v>0</v>
      </c>
      <c r="BD506" s="33">
        <f>L506/(100-BE506)*100</f>
        <v>0</v>
      </c>
      <c r="BE506" s="33">
        <v>0</v>
      </c>
      <c r="BF506" s="33">
        <f>506</f>
        <v>506</v>
      </c>
      <c r="BH506" s="53">
        <f>K506*AO506</f>
        <v>0</v>
      </c>
      <c r="BI506" s="53">
        <f>K506*AP506</f>
        <v>0</v>
      </c>
      <c r="BJ506" s="53">
        <f>K506*L506</f>
        <v>0</v>
      </c>
      <c r="BK506" s="53" t="s">
        <v>1046</v>
      </c>
      <c r="BL506" s="33">
        <v>91</v>
      </c>
    </row>
    <row r="507" spans="1:14" ht="12.75">
      <c r="A507" s="17"/>
      <c r="D507" s="143" t="s">
        <v>826</v>
      </c>
      <c r="E507" s="144"/>
      <c r="F507" s="144"/>
      <c r="G507" s="144"/>
      <c r="H507" s="144"/>
      <c r="I507" s="144"/>
      <c r="K507" s="75">
        <v>148</v>
      </c>
      <c r="M507" s="14"/>
      <c r="N507" s="17"/>
    </row>
    <row r="508" spans="1:14" ht="12.75">
      <c r="A508" s="17"/>
      <c r="D508" s="143" t="s">
        <v>827</v>
      </c>
      <c r="E508" s="144"/>
      <c r="F508" s="144"/>
      <c r="G508" s="144"/>
      <c r="H508" s="144"/>
      <c r="I508" s="144"/>
      <c r="K508" s="75">
        <v>87</v>
      </c>
      <c r="M508" s="14"/>
      <c r="N508" s="17"/>
    </row>
    <row r="509" spans="1:64" ht="12.75">
      <c r="A509" s="39" t="s">
        <v>193</v>
      </c>
      <c r="B509" s="46" t="s">
        <v>62</v>
      </c>
      <c r="C509" s="46" t="s">
        <v>353</v>
      </c>
      <c r="D509" s="148" t="s">
        <v>764</v>
      </c>
      <c r="E509" s="149"/>
      <c r="F509" s="149"/>
      <c r="G509" s="149"/>
      <c r="H509" s="149"/>
      <c r="I509" s="149"/>
      <c r="J509" s="46" t="s">
        <v>975</v>
      </c>
      <c r="K509" s="78">
        <v>152.44</v>
      </c>
      <c r="L509" s="54">
        <v>0</v>
      </c>
      <c r="M509" s="66">
        <f>K509*L509</f>
        <v>0</v>
      </c>
      <c r="N509" s="17"/>
      <c r="Z509" s="33">
        <f>IF(AQ509="5",BJ509,0)</f>
        <v>0</v>
      </c>
      <c r="AB509" s="33">
        <f>IF(AQ509="1",BH509,0)</f>
        <v>0</v>
      </c>
      <c r="AC509" s="33">
        <f>IF(AQ509="1",BI509,0)</f>
        <v>0</v>
      </c>
      <c r="AD509" s="33">
        <f>IF(AQ509="7",BH509,0)</f>
        <v>0</v>
      </c>
      <c r="AE509" s="33">
        <f>IF(AQ509="7",BI509,0)</f>
        <v>0</v>
      </c>
      <c r="AF509" s="33">
        <f>IF(AQ509="2",BH509,0)</f>
        <v>0</v>
      </c>
      <c r="AG509" s="33">
        <f>IF(AQ509="2",BI509,0)</f>
        <v>0</v>
      </c>
      <c r="AH509" s="33">
        <f>IF(AQ509="0",BJ509,0)</f>
        <v>0</v>
      </c>
      <c r="AI509" s="58" t="s">
        <v>62</v>
      </c>
      <c r="AJ509" s="54">
        <f>IF(AN509=0,M509,0)</f>
        <v>0</v>
      </c>
      <c r="AK509" s="54">
        <f>IF(AN509=15,M509,0)</f>
        <v>0</v>
      </c>
      <c r="AL509" s="54">
        <f>IF(AN509=21,M509,0)</f>
        <v>0</v>
      </c>
      <c r="AN509" s="33">
        <v>21</v>
      </c>
      <c r="AO509" s="33">
        <f>L509*1</f>
        <v>0</v>
      </c>
      <c r="AP509" s="33">
        <f>L509*(1-1)</f>
        <v>0</v>
      </c>
      <c r="AQ509" s="60" t="s">
        <v>80</v>
      </c>
      <c r="AV509" s="33">
        <f>AW509+AX509</f>
        <v>0</v>
      </c>
      <c r="AW509" s="33">
        <f>K509*AO509</f>
        <v>0</v>
      </c>
      <c r="AX509" s="33">
        <f>K509*AP509</f>
        <v>0</v>
      </c>
      <c r="AY509" s="61" t="s">
        <v>1007</v>
      </c>
      <c r="AZ509" s="61" t="s">
        <v>1029</v>
      </c>
      <c r="BA509" s="58" t="s">
        <v>1038</v>
      </c>
      <c r="BC509" s="33">
        <f>AW509+AX509</f>
        <v>0</v>
      </c>
      <c r="BD509" s="33">
        <f>L509/(100-BE509)*100</f>
        <v>0</v>
      </c>
      <c r="BE509" s="33">
        <v>0</v>
      </c>
      <c r="BF509" s="33">
        <f>509</f>
        <v>509</v>
      </c>
      <c r="BH509" s="54">
        <f>K509*AO509</f>
        <v>0</v>
      </c>
      <c r="BI509" s="54">
        <f>K509*AP509</f>
        <v>0</v>
      </c>
      <c r="BJ509" s="54">
        <f>K509*L509</f>
        <v>0</v>
      </c>
      <c r="BK509" s="54" t="s">
        <v>1047</v>
      </c>
      <c r="BL509" s="33">
        <v>91</v>
      </c>
    </row>
    <row r="510" spans="1:14" ht="12.75">
      <c r="A510" s="17"/>
      <c r="D510" s="143" t="s">
        <v>828</v>
      </c>
      <c r="E510" s="144"/>
      <c r="F510" s="144"/>
      <c r="G510" s="144"/>
      <c r="H510" s="144"/>
      <c r="I510" s="144"/>
      <c r="K510" s="75">
        <v>0</v>
      </c>
      <c r="M510" s="14"/>
      <c r="N510" s="17"/>
    </row>
    <row r="511" spans="1:14" ht="12.75">
      <c r="A511" s="17"/>
      <c r="D511" s="143" t="s">
        <v>829</v>
      </c>
      <c r="E511" s="144"/>
      <c r="F511" s="144"/>
      <c r="G511" s="144"/>
      <c r="H511" s="144"/>
      <c r="I511" s="144"/>
      <c r="K511" s="75">
        <v>17</v>
      </c>
      <c r="M511" s="14"/>
      <c r="N511" s="17"/>
    </row>
    <row r="512" spans="1:14" ht="12.75">
      <c r="A512" s="17"/>
      <c r="D512" s="143" t="s">
        <v>830</v>
      </c>
      <c r="E512" s="144"/>
      <c r="F512" s="144"/>
      <c r="G512" s="144"/>
      <c r="H512" s="144"/>
      <c r="I512" s="144"/>
      <c r="K512" s="75">
        <v>12</v>
      </c>
      <c r="M512" s="14"/>
      <c r="N512" s="17"/>
    </row>
    <row r="513" spans="1:14" ht="12.75">
      <c r="A513" s="17"/>
      <c r="D513" s="143" t="s">
        <v>831</v>
      </c>
      <c r="E513" s="144"/>
      <c r="F513" s="144"/>
      <c r="G513" s="144"/>
      <c r="H513" s="144"/>
      <c r="I513" s="144"/>
      <c r="K513" s="75">
        <v>0</v>
      </c>
      <c r="M513" s="14"/>
      <c r="N513" s="17"/>
    </row>
    <row r="514" spans="1:14" ht="12.75">
      <c r="A514" s="17"/>
      <c r="D514" s="143" t="s">
        <v>832</v>
      </c>
      <c r="E514" s="144"/>
      <c r="F514" s="144"/>
      <c r="G514" s="144"/>
      <c r="H514" s="144"/>
      <c r="I514" s="144"/>
      <c r="K514" s="75">
        <v>6</v>
      </c>
      <c r="M514" s="14"/>
      <c r="N514" s="17"/>
    </row>
    <row r="515" spans="1:14" ht="12.75">
      <c r="A515" s="17"/>
      <c r="D515" s="143" t="s">
        <v>833</v>
      </c>
      <c r="E515" s="144"/>
      <c r="F515" s="144"/>
      <c r="G515" s="144"/>
      <c r="H515" s="144"/>
      <c r="I515" s="144"/>
      <c r="K515" s="75">
        <v>0</v>
      </c>
      <c r="M515" s="14"/>
      <c r="N515" s="17"/>
    </row>
    <row r="516" spans="1:14" ht="12.75">
      <c r="A516" s="17"/>
      <c r="D516" s="143" t="s">
        <v>834</v>
      </c>
      <c r="E516" s="144"/>
      <c r="F516" s="144"/>
      <c r="G516" s="144"/>
      <c r="H516" s="144"/>
      <c r="I516" s="144"/>
      <c r="K516" s="75">
        <v>21</v>
      </c>
      <c r="M516" s="14"/>
      <c r="N516" s="17"/>
    </row>
    <row r="517" spans="1:14" ht="12.75">
      <c r="A517" s="17"/>
      <c r="D517" s="143" t="s">
        <v>835</v>
      </c>
      <c r="E517" s="144"/>
      <c r="F517" s="144"/>
      <c r="G517" s="144"/>
      <c r="H517" s="144"/>
      <c r="I517" s="144"/>
      <c r="K517" s="75">
        <v>11</v>
      </c>
      <c r="M517" s="14"/>
      <c r="N517" s="17"/>
    </row>
    <row r="518" spans="1:14" ht="12.75">
      <c r="A518" s="17"/>
      <c r="D518" s="143" t="s">
        <v>836</v>
      </c>
      <c r="E518" s="144"/>
      <c r="F518" s="144"/>
      <c r="G518" s="144"/>
      <c r="H518" s="144"/>
      <c r="I518" s="144"/>
      <c r="K518" s="75">
        <v>81</v>
      </c>
      <c r="M518" s="14"/>
      <c r="N518" s="17"/>
    </row>
    <row r="519" spans="1:14" ht="12.75">
      <c r="A519" s="17"/>
      <c r="D519" s="143" t="s">
        <v>837</v>
      </c>
      <c r="E519" s="144"/>
      <c r="F519" s="144"/>
      <c r="G519" s="144"/>
      <c r="H519" s="144"/>
      <c r="I519" s="144"/>
      <c r="K519" s="75">
        <v>4.44</v>
      </c>
      <c r="M519" s="14"/>
      <c r="N519" s="17"/>
    </row>
    <row r="520" spans="1:64" ht="12.75">
      <c r="A520" s="39" t="s">
        <v>194</v>
      </c>
      <c r="B520" s="46" t="s">
        <v>62</v>
      </c>
      <c r="C520" s="46" t="s">
        <v>381</v>
      </c>
      <c r="D520" s="148" t="s">
        <v>838</v>
      </c>
      <c r="E520" s="149"/>
      <c r="F520" s="149"/>
      <c r="G520" s="149"/>
      <c r="H520" s="149"/>
      <c r="I520" s="149"/>
      <c r="J520" s="46" t="s">
        <v>975</v>
      </c>
      <c r="K520" s="78">
        <v>89.61</v>
      </c>
      <c r="L520" s="54">
        <v>0</v>
      </c>
      <c r="M520" s="66">
        <f>K520*L520</f>
        <v>0</v>
      </c>
      <c r="N520" s="17"/>
      <c r="Z520" s="33">
        <f>IF(AQ520="5",BJ520,0)</f>
        <v>0</v>
      </c>
      <c r="AB520" s="33">
        <f>IF(AQ520="1",BH520,0)</f>
        <v>0</v>
      </c>
      <c r="AC520" s="33">
        <f>IF(AQ520="1",BI520,0)</f>
        <v>0</v>
      </c>
      <c r="AD520" s="33">
        <f>IF(AQ520="7",BH520,0)</f>
        <v>0</v>
      </c>
      <c r="AE520" s="33">
        <f>IF(AQ520="7",BI520,0)</f>
        <v>0</v>
      </c>
      <c r="AF520" s="33">
        <f>IF(AQ520="2",BH520,0)</f>
        <v>0</v>
      </c>
      <c r="AG520" s="33">
        <f>IF(AQ520="2",BI520,0)</f>
        <v>0</v>
      </c>
      <c r="AH520" s="33">
        <f>IF(AQ520="0",BJ520,0)</f>
        <v>0</v>
      </c>
      <c r="AI520" s="58" t="s">
        <v>62</v>
      </c>
      <c r="AJ520" s="54">
        <f>IF(AN520=0,M520,0)</f>
        <v>0</v>
      </c>
      <c r="AK520" s="54">
        <f>IF(AN520=15,M520,0)</f>
        <v>0</v>
      </c>
      <c r="AL520" s="54">
        <f>IF(AN520=21,M520,0)</f>
        <v>0</v>
      </c>
      <c r="AN520" s="33">
        <v>21</v>
      </c>
      <c r="AO520" s="33">
        <f>L520*1</f>
        <v>0</v>
      </c>
      <c r="AP520" s="33">
        <f>L520*(1-1)</f>
        <v>0</v>
      </c>
      <c r="AQ520" s="60" t="s">
        <v>80</v>
      </c>
      <c r="AV520" s="33">
        <f>AW520+AX520</f>
        <v>0</v>
      </c>
      <c r="AW520" s="33">
        <f>K520*AO520</f>
        <v>0</v>
      </c>
      <c r="AX520" s="33">
        <f>K520*AP520</f>
        <v>0</v>
      </c>
      <c r="AY520" s="61" t="s">
        <v>1007</v>
      </c>
      <c r="AZ520" s="61" t="s">
        <v>1029</v>
      </c>
      <c r="BA520" s="58" t="s">
        <v>1038</v>
      </c>
      <c r="BC520" s="33">
        <f>AW520+AX520</f>
        <v>0</v>
      </c>
      <c r="BD520" s="33">
        <f>L520/(100-BE520)*100</f>
        <v>0</v>
      </c>
      <c r="BE520" s="33">
        <v>0</v>
      </c>
      <c r="BF520" s="33">
        <f>520</f>
        <v>520</v>
      </c>
      <c r="BH520" s="54">
        <f>K520*AO520</f>
        <v>0</v>
      </c>
      <c r="BI520" s="54">
        <f>K520*AP520</f>
        <v>0</v>
      </c>
      <c r="BJ520" s="54">
        <f>K520*L520</f>
        <v>0</v>
      </c>
      <c r="BK520" s="54" t="s">
        <v>1047</v>
      </c>
      <c r="BL520" s="33">
        <v>91</v>
      </c>
    </row>
    <row r="521" spans="1:14" ht="12.75">
      <c r="A521" s="17"/>
      <c r="D521" s="143" t="s">
        <v>831</v>
      </c>
      <c r="E521" s="144"/>
      <c r="F521" s="144"/>
      <c r="G521" s="144"/>
      <c r="H521" s="144"/>
      <c r="I521" s="144"/>
      <c r="K521" s="75">
        <v>0</v>
      </c>
      <c r="M521" s="14"/>
      <c r="N521" s="17"/>
    </row>
    <row r="522" spans="1:14" ht="12.75">
      <c r="A522" s="17"/>
      <c r="D522" s="143" t="s">
        <v>839</v>
      </c>
      <c r="E522" s="144"/>
      <c r="F522" s="144"/>
      <c r="G522" s="144"/>
      <c r="H522" s="144"/>
      <c r="I522" s="144"/>
      <c r="K522" s="75">
        <v>24</v>
      </c>
      <c r="M522" s="14"/>
      <c r="N522" s="17"/>
    </row>
    <row r="523" spans="1:14" ht="12.75">
      <c r="A523" s="17"/>
      <c r="D523" s="143" t="s">
        <v>840</v>
      </c>
      <c r="E523" s="144"/>
      <c r="F523" s="144"/>
      <c r="G523" s="144"/>
      <c r="H523" s="144"/>
      <c r="I523" s="144"/>
      <c r="K523" s="75">
        <v>23</v>
      </c>
      <c r="M523" s="14"/>
      <c r="N523" s="17"/>
    </row>
    <row r="524" spans="1:14" ht="12.75">
      <c r="A524" s="17"/>
      <c r="D524" s="143" t="s">
        <v>841</v>
      </c>
      <c r="E524" s="144"/>
      <c r="F524" s="144"/>
      <c r="G524" s="144"/>
      <c r="H524" s="144"/>
      <c r="I524" s="144"/>
      <c r="K524" s="75">
        <v>0</v>
      </c>
      <c r="M524" s="14"/>
      <c r="N524" s="17"/>
    </row>
    <row r="525" spans="1:14" ht="12.75">
      <c r="A525" s="17"/>
      <c r="D525" s="143" t="s">
        <v>842</v>
      </c>
      <c r="E525" s="144"/>
      <c r="F525" s="144"/>
      <c r="G525" s="144"/>
      <c r="H525" s="144"/>
      <c r="I525" s="144"/>
      <c r="K525" s="75">
        <v>3</v>
      </c>
      <c r="M525" s="14"/>
      <c r="N525" s="17"/>
    </row>
    <row r="526" spans="1:14" ht="12.75">
      <c r="A526" s="17"/>
      <c r="D526" s="143" t="s">
        <v>843</v>
      </c>
      <c r="E526" s="144"/>
      <c r="F526" s="144"/>
      <c r="G526" s="144"/>
      <c r="H526" s="144"/>
      <c r="I526" s="144"/>
      <c r="K526" s="75">
        <v>37</v>
      </c>
      <c r="M526" s="14"/>
      <c r="N526" s="17"/>
    </row>
    <row r="527" spans="1:14" ht="12.75">
      <c r="A527" s="17"/>
      <c r="D527" s="143" t="s">
        <v>844</v>
      </c>
      <c r="E527" s="144"/>
      <c r="F527" s="144"/>
      <c r="G527" s="144"/>
      <c r="H527" s="144"/>
      <c r="I527" s="144"/>
      <c r="K527" s="75">
        <v>2.61</v>
      </c>
      <c r="M527" s="14"/>
      <c r="N527" s="17"/>
    </row>
    <row r="528" spans="1:47" ht="12.75">
      <c r="A528" s="37"/>
      <c r="B528" s="44" t="s">
        <v>62</v>
      </c>
      <c r="C528" s="44" t="s">
        <v>172</v>
      </c>
      <c r="D528" s="139" t="s">
        <v>845</v>
      </c>
      <c r="E528" s="140"/>
      <c r="F528" s="140"/>
      <c r="G528" s="140"/>
      <c r="H528" s="140"/>
      <c r="I528" s="140"/>
      <c r="J528" s="50" t="s">
        <v>59</v>
      </c>
      <c r="K528" s="50" t="s">
        <v>59</v>
      </c>
      <c r="L528" s="50" t="s">
        <v>59</v>
      </c>
      <c r="M528" s="64">
        <f>SUM(M529:M536)</f>
        <v>0</v>
      </c>
      <c r="N528" s="17"/>
      <c r="AI528" s="58" t="s">
        <v>62</v>
      </c>
      <c r="AS528" s="68">
        <f>SUM(AJ529:AJ536)</f>
        <v>0</v>
      </c>
      <c r="AT528" s="68">
        <f>SUM(AK529:AK536)</f>
        <v>0</v>
      </c>
      <c r="AU528" s="68">
        <f>SUM(AL529:AL536)</f>
        <v>0</v>
      </c>
    </row>
    <row r="529" spans="1:64" ht="12.75">
      <c r="A529" s="38" t="s">
        <v>195</v>
      </c>
      <c r="B529" s="45" t="s">
        <v>62</v>
      </c>
      <c r="C529" s="45" t="s">
        <v>382</v>
      </c>
      <c r="D529" s="141" t="s">
        <v>846</v>
      </c>
      <c r="E529" s="142"/>
      <c r="F529" s="142"/>
      <c r="G529" s="142"/>
      <c r="H529" s="142"/>
      <c r="I529" s="142"/>
      <c r="J529" s="45" t="s">
        <v>968</v>
      </c>
      <c r="K529" s="74">
        <v>37</v>
      </c>
      <c r="L529" s="53">
        <v>0</v>
      </c>
      <c r="M529" s="65">
        <f>K529*L529</f>
        <v>0</v>
      </c>
      <c r="N529" s="17"/>
      <c r="Z529" s="33">
        <f>IF(AQ529="5",BJ529,0)</f>
        <v>0</v>
      </c>
      <c r="AB529" s="33">
        <f>IF(AQ529="1",BH529,0)</f>
        <v>0</v>
      </c>
      <c r="AC529" s="33">
        <f>IF(AQ529="1",BI529,0)</f>
        <v>0</v>
      </c>
      <c r="AD529" s="33">
        <f>IF(AQ529="7",BH529,0)</f>
        <v>0</v>
      </c>
      <c r="AE529" s="33">
        <f>IF(AQ529="7",BI529,0)</f>
        <v>0</v>
      </c>
      <c r="AF529" s="33">
        <f>IF(AQ529="2",BH529,0)</f>
        <v>0</v>
      </c>
      <c r="AG529" s="33">
        <f>IF(AQ529="2",BI529,0)</f>
        <v>0</v>
      </c>
      <c r="AH529" s="33">
        <f>IF(AQ529="0",BJ529,0)</f>
        <v>0</v>
      </c>
      <c r="AI529" s="58" t="s">
        <v>62</v>
      </c>
      <c r="AJ529" s="53">
        <f>IF(AN529=0,M529,0)</f>
        <v>0</v>
      </c>
      <c r="AK529" s="53">
        <f>IF(AN529=15,M529,0)</f>
        <v>0</v>
      </c>
      <c r="AL529" s="53">
        <f>IF(AN529=21,M529,0)</f>
        <v>0</v>
      </c>
      <c r="AN529" s="33">
        <v>21</v>
      </c>
      <c r="AO529" s="33">
        <f>L529*0.229188936634126</f>
        <v>0</v>
      </c>
      <c r="AP529" s="33">
        <f>L529*(1-0.229188936634126)</f>
        <v>0</v>
      </c>
      <c r="AQ529" s="59" t="s">
        <v>80</v>
      </c>
      <c r="AV529" s="33">
        <f>AW529+AX529</f>
        <v>0</v>
      </c>
      <c r="AW529" s="33">
        <f>K529*AO529</f>
        <v>0</v>
      </c>
      <c r="AX529" s="33">
        <f>K529*AP529</f>
        <v>0</v>
      </c>
      <c r="AY529" s="61" t="s">
        <v>1014</v>
      </c>
      <c r="AZ529" s="61" t="s">
        <v>1029</v>
      </c>
      <c r="BA529" s="58" t="s">
        <v>1038</v>
      </c>
      <c r="BC529" s="33">
        <f>AW529+AX529</f>
        <v>0</v>
      </c>
      <c r="BD529" s="33">
        <f>L529/(100-BE529)*100</f>
        <v>0</v>
      </c>
      <c r="BE529" s="33">
        <v>0</v>
      </c>
      <c r="BF529" s="33">
        <f>529</f>
        <v>529</v>
      </c>
      <c r="BH529" s="53">
        <f>K529*AO529</f>
        <v>0</v>
      </c>
      <c r="BI529" s="53">
        <f>K529*AP529</f>
        <v>0</v>
      </c>
      <c r="BJ529" s="53">
        <f>K529*L529</f>
        <v>0</v>
      </c>
      <c r="BK529" s="53" t="s">
        <v>1046</v>
      </c>
      <c r="BL529" s="33">
        <v>93</v>
      </c>
    </row>
    <row r="530" spans="1:14" ht="12.75">
      <c r="A530" s="17"/>
      <c r="D530" s="143" t="s">
        <v>847</v>
      </c>
      <c r="E530" s="144"/>
      <c r="F530" s="144"/>
      <c r="G530" s="144"/>
      <c r="H530" s="144"/>
      <c r="I530" s="144"/>
      <c r="K530" s="75">
        <v>37</v>
      </c>
      <c r="M530" s="14"/>
      <c r="N530" s="17"/>
    </row>
    <row r="531" spans="1:64" ht="12.75">
      <c r="A531" s="39" t="s">
        <v>196</v>
      </c>
      <c r="B531" s="46" t="s">
        <v>62</v>
      </c>
      <c r="C531" s="46" t="s">
        <v>383</v>
      </c>
      <c r="D531" s="148" t="s">
        <v>848</v>
      </c>
      <c r="E531" s="149"/>
      <c r="F531" s="149"/>
      <c r="G531" s="149"/>
      <c r="H531" s="149"/>
      <c r="I531" s="149"/>
      <c r="J531" s="46" t="s">
        <v>975</v>
      </c>
      <c r="K531" s="78">
        <v>38.11</v>
      </c>
      <c r="L531" s="54">
        <v>0</v>
      </c>
      <c r="M531" s="66">
        <f>K531*L531</f>
        <v>0</v>
      </c>
      <c r="N531" s="17"/>
      <c r="Z531" s="33">
        <f>IF(AQ531="5",BJ531,0)</f>
        <v>0</v>
      </c>
      <c r="AB531" s="33">
        <f>IF(AQ531="1",BH531,0)</f>
        <v>0</v>
      </c>
      <c r="AC531" s="33">
        <f>IF(AQ531="1",BI531,0)</f>
        <v>0</v>
      </c>
      <c r="AD531" s="33">
        <f>IF(AQ531="7",BH531,0)</f>
        <v>0</v>
      </c>
      <c r="AE531" s="33">
        <f>IF(AQ531="7",BI531,0)</f>
        <v>0</v>
      </c>
      <c r="AF531" s="33">
        <f>IF(AQ531="2",BH531,0)</f>
        <v>0</v>
      </c>
      <c r="AG531" s="33">
        <f>IF(AQ531="2",BI531,0)</f>
        <v>0</v>
      </c>
      <c r="AH531" s="33">
        <f>IF(AQ531="0",BJ531,0)</f>
        <v>0</v>
      </c>
      <c r="AI531" s="58" t="s">
        <v>62</v>
      </c>
      <c r="AJ531" s="54">
        <f>IF(AN531=0,M531,0)</f>
        <v>0</v>
      </c>
      <c r="AK531" s="54">
        <f>IF(AN531=15,M531,0)</f>
        <v>0</v>
      </c>
      <c r="AL531" s="54">
        <f>IF(AN531=21,M531,0)</f>
        <v>0</v>
      </c>
      <c r="AN531" s="33">
        <v>21</v>
      </c>
      <c r="AO531" s="33">
        <f>L531*1</f>
        <v>0</v>
      </c>
      <c r="AP531" s="33">
        <f>L531*(1-1)</f>
        <v>0</v>
      </c>
      <c r="AQ531" s="60" t="s">
        <v>80</v>
      </c>
      <c r="AV531" s="33">
        <f>AW531+AX531</f>
        <v>0</v>
      </c>
      <c r="AW531" s="33">
        <f>K531*AO531</f>
        <v>0</v>
      </c>
      <c r="AX531" s="33">
        <f>K531*AP531</f>
        <v>0</v>
      </c>
      <c r="AY531" s="61" t="s">
        <v>1014</v>
      </c>
      <c r="AZ531" s="61" t="s">
        <v>1029</v>
      </c>
      <c r="BA531" s="58" t="s">
        <v>1038</v>
      </c>
      <c r="BC531" s="33">
        <f>AW531+AX531</f>
        <v>0</v>
      </c>
      <c r="BD531" s="33">
        <f>L531/(100-BE531)*100</f>
        <v>0</v>
      </c>
      <c r="BE531" s="33">
        <v>0</v>
      </c>
      <c r="BF531" s="33">
        <f>531</f>
        <v>531</v>
      </c>
      <c r="BH531" s="54">
        <f>K531*AO531</f>
        <v>0</v>
      </c>
      <c r="BI531" s="54">
        <f>K531*AP531</f>
        <v>0</v>
      </c>
      <c r="BJ531" s="54">
        <f>K531*L531</f>
        <v>0</v>
      </c>
      <c r="BK531" s="54" t="s">
        <v>1047</v>
      </c>
      <c r="BL531" s="33">
        <v>93</v>
      </c>
    </row>
    <row r="532" spans="1:14" ht="12.75">
      <c r="A532" s="17"/>
      <c r="D532" s="143" t="s">
        <v>849</v>
      </c>
      <c r="E532" s="144"/>
      <c r="F532" s="144"/>
      <c r="G532" s="144"/>
      <c r="H532" s="144"/>
      <c r="I532" s="144"/>
      <c r="K532" s="75">
        <v>37</v>
      </c>
      <c r="M532" s="14"/>
      <c r="N532" s="17"/>
    </row>
    <row r="533" spans="1:14" ht="12.75">
      <c r="A533" s="17"/>
      <c r="D533" s="143" t="s">
        <v>850</v>
      </c>
      <c r="E533" s="144"/>
      <c r="F533" s="144"/>
      <c r="G533" s="144"/>
      <c r="H533" s="144"/>
      <c r="I533" s="144"/>
      <c r="K533" s="75">
        <v>1.11</v>
      </c>
      <c r="M533" s="14"/>
      <c r="N533" s="17"/>
    </row>
    <row r="534" spans="1:64" ht="12.75">
      <c r="A534" s="38" t="s">
        <v>197</v>
      </c>
      <c r="B534" s="45" t="s">
        <v>62</v>
      </c>
      <c r="C534" s="45" t="s">
        <v>384</v>
      </c>
      <c r="D534" s="141" t="s">
        <v>851</v>
      </c>
      <c r="E534" s="142"/>
      <c r="F534" s="142"/>
      <c r="G534" s="142"/>
      <c r="H534" s="142"/>
      <c r="I534" s="142"/>
      <c r="J534" s="45" t="s">
        <v>968</v>
      </c>
      <c r="K534" s="74">
        <v>23</v>
      </c>
      <c r="L534" s="53">
        <v>0</v>
      </c>
      <c r="M534" s="65">
        <f>K534*L534</f>
        <v>0</v>
      </c>
      <c r="N534" s="17"/>
      <c r="Z534" s="33">
        <f>IF(AQ534="5",BJ534,0)</f>
        <v>0</v>
      </c>
      <c r="AB534" s="33">
        <f>IF(AQ534="1",BH534,0)</f>
        <v>0</v>
      </c>
      <c r="AC534" s="33">
        <f>IF(AQ534="1",BI534,0)</f>
        <v>0</v>
      </c>
      <c r="AD534" s="33">
        <f>IF(AQ534="7",BH534,0)</f>
        <v>0</v>
      </c>
      <c r="AE534" s="33">
        <f>IF(AQ534="7",BI534,0)</f>
        <v>0</v>
      </c>
      <c r="AF534" s="33">
        <f>IF(AQ534="2",BH534,0)</f>
        <v>0</v>
      </c>
      <c r="AG534" s="33">
        <f>IF(AQ534="2",BI534,0)</f>
        <v>0</v>
      </c>
      <c r="AH534" s="33">
        <f>IF(AQ534="0",BJ534,0)</f>
        <v>0</v>
      </c>
      <c r="AI534" s="58" t="s">
        <v>62</v>
      </c>
      <c r="AJ534" s="53">
        <f>IF(AN534=0,M534,0)</f>
        <v>0</v>
      </c>
      <c r="AK534" s="53">
        <f>IF(AN534=15,M534,0)</f>
        <v>0</v>
      </c>
      <c r="AL534" s="53">
        <f>IF(AN534=21,M534,0)</f>
        <v>0</v>
      </c>
      <c r="AN534" s="33">
        <v>21</v>
      </c>
      <c r="AO534" s="33">
        <f>L534*0.525270359743986</f>
        <v>0</v>
      </c>
      <c r="AP534" s="33">
        <f>L534*(1-0.525270359743986)</f>
        <v>0</v>
      </c>
      <c r="AQ534" s="59" t="s">
        <v>80</v>
      </c>
      <c r="AV534" s="33">
        <f>AW534+AX534</f>
        <v>0</v>
      </c>
      <c r="AW534" s="33">
        <f>K534*AO534</f>
        <v>0</v>
      </c>
      <c r="AX534" s="33">
        <f>K534*AP534</f>
        <v>0</v>
      </c>
      <c r="AY534" s="61" t="s">
        <v>1014</v>
      </c>
      <c r="AZ534" s="61" t="s">
        <v>1029</v>
      </c>
      <c r="BA534" s="58" t="s">
        <v>1038</v>
      </c>
      <c r="BC534" s="33">
        <f>AW534+AX534</f>
        <v>0</v>
      </c>
      <c r="BD534" s="33">
        <f>L534/(100-BE534)*100</f>
        <v>0</v>
      </c>
      <c r="BE534" s="33">
        <v>0</v>
      </c>
      <c r="BF534" s="33">
        <f>534</f>
        <v>534</v>
      </c>
      <c r="BH534" s="53">
        <f>K534*AO534</f>
        <v>0</v>
      </c>
      <c r="BI534" s="53">
        <f>K534*AP534</f>
        <v>0</v>
      </c>
      <c r="BJ534" s="53">
        <f>K534*L534</f>
        <v>0</v>
      </c>
      <c r="BK534" s="53" t="s">
        <v>1046</v>
      </c>
      <c r="BL534" s="33">
        <v>93</v>
      </c>
    </row>
    <row r="535" spans="1:14" ht="12.75">
      <c r="A535" s="17"/>
      <c r="D535" s="143" t="s">
        <v>852</v>
      </c>
      <c r="E535" s="144"/>
      <c r="F535" s="144"/>
      <c r="G535" s="144"/>
      <c r="H535" s="144"/>
      <c r="I535" s="144"/>
      <c r="K535" s="75">
        <v>23</v>
      </c>
      <c r="M535" s="14"/>
      <c r="N535" s="17"/>
    </row>
    <row r="536" spans="1:64" ht="12.75">
      <c r="A536" s="39" t="s">
        <v>198</v>
      </c>
      <c r="B536" s="46" t="s">
        <v>62</v>
      </c>
      <c r="C536" s="46" t="s">
        <v>385</v>
      </c>
      <c r="D536" s="148" t="s">
        <v>853</v>
      </c>
      <c r="E536" s="149"/>
      <c r="F536" s="149"/>
      <c r="G536" s="149"/>
      <c r="H536" s="149"/>
      <c r="I536" s="149"/>
      <c r="J536" s="46" t="s">
        <v>975</v>
      </c>
      <c r="K536" s="78">
        <v>23.69</v>
      </c>
      <c r="L536" s="54">
        <v>0</v>
      </c>
      <c r="M536" s="66">
        <f>K536*L536</f>
        <v>0</v>
      </c>
      <c r="N536" s="17"/>
      <c r="Z536" s="33">
        <f>IF(AQ536="5",BJ536,0)</f>
        <v>0</v>
      </c>
      <c r="AB536" s="33">
        <f>IF(AQ536="1",BH536,0)</f>
        <v>0</v>
      </c>
      <c r="AC536" s="33">
        <f>IF(AQ536="1",BI536,0)</f>
        <v>0</v>
      </c>
      <c r="AD536" s="33">
        <f>IF(AQ536="7",BH536,0)</f>
        <v>0</v>
      </c>
      <c r="AE536" s="33">
        <f>IF(AQ536="7",BI536,0)</f>
        <v>0</v>
      </c>
      <c r="AF536" s="33">
        <f>IF(AQ536="2",BH536,0)</f>
        <v>0</v>
      </c>
      <c r="AG536" s="33">
        <f>IF(AQ536="2",BI536,0)</f>
        <v>0</v>
      </c>
      <c r="AH536" s="33">
        <f>IF(AQ536="0",BJ536,0)</f>
        <v>0</v>
      </c>
      <c r="AI536" s="58" t="s">
        <v>62</v>
      </c>
      <c r="AJ536" s="54">
        <f>IF(AN536=0,M536,0)</f>
        <v>0</v>
      </c>
      <c r="AK536" s="54">
        <f>IF(AN536=15,M536,0)</f>
        <v>0</v>
      </c>
      <c r="AL536" s="54">
        <f>IF(AN536=21,M536,0)</f>
        <v>0</v>
      </c>
      <c r="AN536" s="33">
        <v>21</v>
      </c>
      <c r="AO536" s="33">
        <f>L536*1</f>
        <v>0</v>
      </c>
      <c r="AP536" s="33">
        <f>L536*(1-1)</f>
        <v>0</v>
      </c>
      <c r="AQ536" s="60" t="s">
        <v>80</v>
      </c>
      <c r="AV536" s="33">
        <f>AW536+AX536</f>
        <v>0</v>
      </c>
      <c r="AW536" s="33">
        <f>K536*AO536</f>
        <v>0</v>
      </c>
      <c r="AX536" s="33">
        <f>K536*AP536</f>
        <v>0</v>
      </c>
      <c r="AY536" s="61" t="s">
        <v>1014</v>
      </c>
      <c r="AZ536" s="61" t="s">
        <v>1029</v>
      </c>
      <c r="BA536" s="58" t="s">
        <v>1038</v>
      </c>
      <c r="BC536" s="33">
        <f>AW536+AX536</f>
        <v>0</v>
      </c>
      <c r="BD536" s="33">
        <f>L536/(100-BE536)*100</f>
        <v>0</v>
      </c>
      <c r="BE536" s="33">
        <v>0</v>
      </c>
      <c r="BF536" s="33">
        <f>536</f>
        <v>536</v>
      </c>
      <c r="BH536" s="54">
        <f>K536*AO536</f>
        <v>0</v>
      </c>
      <c r="BI536" s="54">
        <f>K536*AP536</f>
        <v>0</v>
      </c>
      <c r="BJ536" s="54">
        <f>K536*L536</f>
        <v>0</v>
      </c>
      <c r="BK536" s="54" t="s">
        <v>1047</v>
      </c>
      <c r="BL536" s="33">
        <v>93</v>
      </c>
    </row>
    <row r="537" spans="1:14" ht="12.75">
      <c r="A537" s="17"/>
      <c r="D537" s="143" t="s">
        <v>854</v>
      </c>
      <c r="E537" s="144"/>
      <c r="F537" s="144"/>
      <c r="G537" s="144"/>
      <c r="H537" s="144"/>
      <c r="I537" s="144"/>
      <c r="K537" s="75">
        <v>23</v>
      </c>
      <c r="M537" s="14"/>
      <c r="N537" s="17"/>
    </row>
    <row r="538" spans="1:14" ht="12.75">
      <c r="A538" s="17"/>
      <c r="D538" s="143" t="s">
        <v>855</v>
      </c>
      <c r="E538" s="144"/>
      <c r="F538" s="144"/>
      <c r="G538" s="144"/>
      <c r="H538" s="144"/>
      <c r="I538" s="144"/>
      <c r="K538" s="75">
        <v>0.69</v>
      </c>
      <c r="M538" s="14"/>
      <c r="N538" s="17"/>
    </row>
    <row r="539" spans="1:47" ht="12.75">
      <c r="A539" s="37"/>
      <c r="B539" s="44" t="s">
        <v>62</v>
      </c>
      <c r="C539" s="44" t="s">
        <v>371</v>
      </c>
      <c r="D539" s="139" t="s">
        <v>802</v>
      </c>
      <c r="E539" s="140"/>
      <c r="F539" s="140"/>
      <c r="G539" s="140"/>
      <c r="H539" s="140"/>
      <c r="I539" s="140"/>
      <c r="J539" s="50" t="s">
        <v>59</v>
      </c>
      <c r="K539" s="50" t="s">
        <v>59</v>
      </c>
      <c r="L539" s="50" t="s">
        <v>59</v>
      </c>
      <c r="M539" s="64">
        <f>SUM(M540:M540)</f>
        <v>0</v>
      </c>
      <c r="N539" s="17"/>
      <c r="AI539" s="58" t="s">
        <v>62</v>
      </c>
      <c r="AS539" s="68">
        <f>SUM(AJ540:AJ540)</f>
        <v>0</v>
      </c>
      <c r="AT539" s="68">
        <f>SUM(AK540:AK540)</f>
        <v>0</v>
      </c>
      <c r="AU539" s="68">
        <f>SUM(AL540:AL540)</f>
        <v>0</v>
      </c>
    </row>
    <row r="540" spans="1:64" ht="12.75">
      <c r="A540" s="38" t="s">
        <v>199</v>
      </c>
      <c r="B540" s="45" t="s">
        <v>62</v>
      </c>
      <c r="C540" s="45" t="s">
        <v>386</v>
      </c>
      <c r="D540" s="141" t="s">
        <v>856</v>
      </c>
      <c r="E540" s="142"/>
      <c r="F540" s="142"/>
      <c r="G540" s="142"/>
      <c r="H540" s="142"/>
      <c r="I540" s="142"/>
      <c r="J540" s="45" t="s">
        <v>974</v>
      </c>
      <c r="K540" s="74">
        <v>1126.195</v>
      </c>
      <c r="L540" s="53">
        <v>0</v>
      </c>
      <c r="M540" s="65">
        <f>K540*L540</f>
        <v>0</v>
      </c>
      <c r="N540" s="17"/>
      <c r="Z540" s="33">
        <f>IF(AQ540="5",BJ540,0)</f>
        <v>0</v>
      </c>
      <c r="AB540" s="33">
        <f>IF(AQ540="1",BH540,0)</f>
        <v>0</v>
      </c>
      <c r="AC540" s="33">
        <f>IF(AQ540="1",BI540,0)</f>
        <v>0</v>
      </c>
      <c r="AD540" s="33">
        <f>IF(AQ540="7",BH540,0)</f>
        <v>0</v>
      </c>
      <c r="AE540" s="33">
        <f>IF(AQ540="7",BI540,0)</f>
        <v>0</v>
      </c>
      <c r="AF540" s="33">
        <f>IF(AQ540="2",BH540,0)</f>
        <v>0</v>
      </c>
      <c r="AG540" s="33">
        <f>IF(AQ540="2",BI540,0)</f>
        <v>0</v>
      </c>
      <c r="AH540" s="33">
        <f>IF(AQ540="0",BJ540,0)</f>
        <v>0</v>
      </c>
      <c r="AI540" s="58" t="s">
        <v>62</v>
      </c>
      <c r="AJ540" s="53">
        <f>IF(AN540=0,M540,0)</f>
        <v>0</v>
      </c>
      <c r="AK540" s="53">
        <f>IF(AN540=15,M540,0)</f>
        <v>0</v>
      </c>
      <c r="AL540" s="53">
        <f>IF(AN540=21,M540,0)</f>
        <v>0</v>
      </c>
      <c r="AN540" s="33">
        <v>21</v>
      </c>
      <c r="AO540" s="33">
        <f>L540*0</f>
        <v>0</v>
      </c>
      <c r="AP540" s="33">
        <f>L540*(1-0)</f>
        <v>0</v>
      </c>
      <c r="AQ540" s="59" t="s">
        <v>84</v>
      </c>
      <c r="AV540" s="33">
        <f>AW540+AX540</f>
        <v>0</v>
      </c>
      <c r="AW540" s="33">
        <f>K540*AO540</f>
        <v>0</v>
      </c>
      <c r="AX540" s="33">
        <f>K540*AP540</f>
        <v>0</v>
      </c>
      <c r="AY540" s="61" t="s">
        <v>1012</v>
      </c>
      <c r="AZ540" s="61" t="s">
        <v>1029</v>
      </c>
      <c r="BA540" s="58" t="s">
        <v>1038</v>
      </c>
      <c r="BC540" s="33">
        <f>AW540+AX540</f>
        <v>0</v>
      </c>
      <c r="BD540" s="33">
        <f>L540/(100-BE540)*100</f>
        <v>0</v>
      </c>
      <c r="BE540" s="33">
        <v>0</v>
      </c>
      <c r="BF540" s="33">
        <f>540</f>
        <v>540</v>
      </c>
      <c r="BH540" s="53">
        <f>K540*AO540</f>
        <v>0</v>
      </c>
      <c r="BI540" s="53">
        <f>K540*AP540</f>
        <v>0</v>
      </c>
      <c r="BJ540" s="53">
        <f>K540*L540</f>
        <v>0</v>
      </c>
      <c r="BK540" s="53" t="s">
        <v>1046</v>
      </c>
      <c r="BL540" s="33" t="s">
        <v>371</v>
      </c>
    </row>
    <row r="541" spans="1:14" ht="12.75">
      <c r="A541" s="40"/>
      <c r="B541" s="47" t="s">
        <v>63</v>
      </c>
      <c r="C541" s="47"/>
      <c r="D541" s="150" t="s">
        <v>69</v>
      </c>
      <c r="E541" s="151"/>
      <c r="F541" s="151"/>
      <c r="G541" s="151"/>
      <c r="H541" s="151"/>
      <c r="I541" s="151"/>
      <c r="J541" s="51" t="s">
        <v>59</v>
      </c>
      <c r="K541" s="51" t="s">
        <v>59</v>
      </c>
      <c r="L541" s="51" t="s">
        <v>59</v>
      </c>
      <c r="M541" s="67">
        <f>M542+M558+M564+M573+M584+M592+M604+M607+M614+M617</f>
        <v>0</v>
      </c>
      <c r="N541" s="17"/>
    </row>
    <row r="542" spans="1:47" ht="12.75">
      <c r="A542" s="37"/>
      <c r="B542" s="44" t="s">
        <v>63</v>
      </c>
      <c r="C542" s="44" t="s">
        <v>90</v>
      </c>
      <c r="D542" s="139" t="s">
        <v>432</v>
      </c>
      <c r="E542" s="140"/>
      <c r="F542" s="140"/>
      <c r="G542" s="140"/>
      <c r="H542" s="140"/>
      <c r="I542" s="140"/>
      <c r="J542" s="50" t="s">
        <v>59</v>
      </c>
      <c r="K542" s="50" t="s">
        <v>59</v>
      </c>
      <c r="L542" s="50" t="s">
        <v>59</v>
      </c>
      <c r="M542" s="64">
        <f>SUM(M543:M556)</f>
        <v>0</v>
      </c>
      <c r="N542" s="17"/>
      <c r="AI542" s="58" t="s">
        <v>63</v>
      </c>
      <c r="AS542" s="68">
        <f>SUM(AJ543:AJ556)</f>
        <v>0</v>
      </c>
      <c r="AT542" s="68">
        <f>SUM(AK543:AK556)</f>
        <v>0</v>
      </c>
      <c r="AU542" s="68">
        <f>SUM(AL543:AL556)</f>
        <v>0</v>
      </c>
    </row>
    <row r="543" spans="1:64" ht="12.75">
      <c r="A543" s="38" t="s">
        <v>200</v>
      </c>
      <c r="B543" s="45" t="s">
        <v>63</v>
      </c>
      <c r="C543" s="45" t="s">
        <v>387</v>
      </c>
      <c r="D543" s="141" t="s">
        <v>857</v>
      </c>
      <c r="E543" s="142"/>
      <c r="F543" s="142"/>
      <c r="G543" s="142"/>
      <c r="H543" s="142"/>
      <c r="I543" s="142"/>
      <c r="J543" s="45" t="s">
        <v>975</v>
      </c>
      <c r="K543" s="74">
        <v>1</v>
      </c>
      <c r="L543" s="53">
        <v>0</v>
      </c>
      <c r="M543" s="65">
        <f>K543*L543</f>
        <v>0</v>
      </c>
      <c r="N543" s="17"/>
      <c r="Z543" s="33">
        <f>IF(AQ543="5",BJ543,0)</f>
        <v>0</v>
      </c>
      <c r="AB543" s="33">
        <f>IF(AQ543="1",BH543,0)</f>
        <v>0</v>
      </c>
      <c r="AC543" s="33">
        <f>IF(AQ543="1",BI543,0)</f>
        <v>0</v>
      </c>
      <c r="AD543" s="33">
        <f>IF(AQ543="7",BH543,0)</f>
        <v>0</v>
      </c>
      <c r="AE543" s="33">
        <f>IF(AQ543="7",BI543,0)</f>
        <v>0</v>
      </c>
      <c r="AF543" s="33">
        <f>IF(AQ543="2",BH543,0)</f>
        <v>0</v>
      </c>
      <c r="AG543" s="33">
        <f>IF(AQ543="2",BI543,0)</f>
        <v>0</v>
      </c>
      <c r="AH543" s="33">
        <f>IF(AQ543="0",BJ543,0)</f>
        <v>0</v>
      </c>
      <c r="AI543" s="58" t="s">
        <v>63</v>
      </c>
      <c r="AJ543" s="53">
        <f>IF(AN543=0,M543,0)</f>
        <v>0</v>
      </c>
      <c r="AK543" s="53">
        <f>IF(AN543=15,M543,0)</f>
        <v>0</v>
      </c>
      <c r="AL543" s="53">
        <f>IF(AN543=21,M543,0)</f>
        <v>0</v>
      </c>
      <c r="AN543" s="33">
        <v>21</v>
      </c>
      <c r="AO543" s="33">
        <f>L543*0</f>
        <v>0</v>
      </c>
      <c r="AP543" s="33">
        <f>L543*(1-0)</f>
        <v>0</v>
      </c>
      <c r="AQ543" s="59" t="s">
        <v>80</v>
      </c>
      <c r="AV543" s="33">
        <f>AW543+AX543</f>
        <v>0</v>
      </c>
      <c r="AW543" s="33">
        <f>K543*AO543</f>
        <v>0</v>
      </c>
      <c r="AX543" s="33">
        <f>K543*AP543</f>
        <v>0</v>
      </c>
      <c r="AY543" s="61" t="s">
        <v>990</v>
      </c>
      <c r="AZ543" s="61" t="s">
        <v>1030</v>
      </c>
      <c r="BA543" s="58" t="s">
        <v>1039</v>
      </c>
      <c r="BC543" s="33">
        <f>AW543+AX543</f>
        <v>0</v>
      </c>
      <c r="BD543" s="33">
        <f>L543/(100-BE543)*100</f>
        <v>0</v>
      </c>
      <c r="BE543" s="33">
        <v>0</v>
      </c>
      <c r="BF543" s="33">
        <f>543</f>
        <v>543</v>
      </c>
      <c r="BH543" s="53">
        <f>K543*AO543</f>
        <v>0</v>
      </c>
      <c r="BI543" s="53">
        <f>K543*AP543</f>
        <v>0</v>
      </c>
      <c r="BJ543" s="53">
        <f>K543*L543</f>
        <v>0</v>
      </c>
      <c r="BK543" s="53" t="s">
        <v>1046</v>
      </c>
      <c r="BL543" s="33">
        <v>11</v>
      </c>
    </row>
    <row r="544" spans="1:14" ht="12.75">
      <c r="A544" s="17"/>
      <c r="D544" s="143" t="s">
        <v>858</v>
      </c>
      <c r="E544" s="144"/>
      <c r="F544" s="144"/>
      <c r="G544" s="144"/>
      <c r="H544" s="144"/>
      <c r="I544" s="144"/>
      <c r="K544" s="75">
        <v>1</v>
      </c>
      <c r="M544" s="14"/>
      <c r="N544" s="17"/>
    </row>
    <row r="545" spans="1:64" ht="12.75">
      <c r="A545" s="38" t="s">
        <v>201</v>
      </c>
      <c r="B545" s="45" t="s">
        <v>63</v>
      </c>
      <c r="C545" s="45" t="s">
        <v>388</v>
      </c>
      <c r="D545" s="141" t="s">
        <v>859</v>
      </c>
      <c r="E545" s="142"/>
      <c r="F545" s="142"/>
      <c r="G545" s="142"/>
      <c r="H545" s="142"/>
      <c r="I545" s="142"/>
      <c r="J545" s="45" t="s">
        <v>975</v>
      </c>
      <c r="K545" s="74">
        <v>1</v>
      </c>
      <c r="L545" s="53">
        <v>0</v>
      </c>
      <c r="M545" s="65">
        <f>K545*L545</f>
        <v>0</v>
      </c>
      <c r="N545" s="17"/>
      <c r="Z545" s="33">
        <f>IF(AQ545="5",BJ545,0)</f>
        <v>0</v>
      </c>
      <c r="AB545" s="33">
        <f>IF(AQ545="1",BH545,0)</f>
        <v>0</v>
      </c>
      <c r="AC545" s="33">
        <f>IF(AQ545="1",BI545,0)</f>
        <v>0</v>
      </c>
      <c r="AD545" s="33">
        <f>IF(AQ545="7",BH545,0)</f>
        <v>0</v>
      </c>
      <c r="AE545" s="33">
        <f>IF(AQ545="7",BI545,0)</f>
        <v>0</v>
      </c>
      <c r="AF545" s="33">
        <f>IF(AQ545="2",BH545,0)</f>
        <v>0</v>
      </c>
      <c r="AG545" s="33">
        <f>IF(AQ545="2",BI545,0)</f>
        <v>0</v>
      </c>
      <c r="AH545" s="33">
        <f>IF(AQ545="0",BJ545,0)</f>
        <v>0</v>
      </c>
      <c r="AI545" s="58" t="s">
        <v>63</v>
      </c>
      <c r="AJ545" s="53">
        <f>IF(AN545=0,M545,0)</f>
        <v>0</v>
      </c>
      <c r="AK545" s="53">
        <f>IF(AN545=15,M545,0)</f>
        <v>0</v>
      </c>
      <c r="AL545" s="53">
        <f>IF(AN545=21,M545,0)</f>
        <v>0</v>
      </c>
      <c r="AN545" s="33">
        <v>21</v>
      </c>
      <c r="AO545" s="33">
        <f>L545*0.00372958257713249</f>
        <v>0</v>
      </c>
      <c r="AP545" s="33">
        <f>L545*(1-0.00372958257713249)</f>
        <v>0</v>
      </c>
      <c r="AQ545" s="59" t="s">
        <v>80</v>
      </c>
      <c r="AV545" s="33">
        <f>AW545+AX545</f>
        <v>0</v>
      </c>
      <c r="AW545" s="33">
        <f>K545*AO545</f>
        <v>0</v>
      </c>
      <c r="AX545" s="33">
        <f>K545*AP545</f>
        <v>0</v>
      </c>
      <c r="AY545" s="61" t="s">
        <v>990</v>
      </c>
      <c r="AZ545" s="61" t="s">
        <v>1030</v>
      </c>
      <c r="BA545" s="58" t="s">
        <v>1039</v>
      </c>
      <c r="BC545" s="33">
        <f>AW545+AX545</f>
        <v>0</v>
      </c>
      <c r="BD545" s="33">
        <f>L545/(100-BE545)*100</f>
        <v>0</v>
      </c>
      <c r="BE545" s="33">
        <v>0</v>
      </c>
      <c r="BF545" s="33">
        <f>545</f>
        <v>545</v>
      </c>
      <c r="BH545" s="53">
        <f>K545*AO545</f>
        <v>0</v>
      </c>
      <c r="BI545" s="53">
        <f>K545*AP545</f>
        <v>0</v>
      </c>
      <c r="BJ545" s="53">
        <f>K545*L545</f>
        <v>0</v>
      </c>
      <c r="BK545" s="53" t="s">
        <v>1046</v>
      </c>
      <c r="BL545" s="33">
        <v>11</v>
      </c>
    </row>
    <row r="546" spans="1:14" ht="12.75">
      <c r="A546" s="17"/>
      <c r="D546" s="143" t="s">
        <v>663</v>
      </c>
      <c r="E546" s="144"/>
      <c r="F546" s="144"/>
      <c r="G546" s="144"/>
      <c r="H546" s="144"/>
      <c r="I546" s="144"/>
      <c r="K546" s="75">
        <v>1</v>
      </c>
      <c r="M546" s="14"/>
      <c r="N546" s="17"/>
    </row>
    <row r="547" spans="1:64" ht="12.75">
      <c r="A547" s="38" t="s">
        <v>202</v>
      </c>
      <c r="B547" s="45" t="s">
        <v>63</v>
      </c>
      <c r="C547" s="45" t="s">
        <v>389</v>
      </c>
      <c r="D547" s="141" t="s">
        <v>860</v>
      </c>
      <c r="E547" s="142"/>
      <c r="F547" s="142"/>
      <c r="G547" s="142"/>
      <c r="H547" s="142"/>
      <c r="I547" s="142"/>
      <c r="J547" s="45" t="s">
        <v>972</v>
      </c>
      <c r="K547" s="74">
        <v>715</v>
      </c>
      <c r="L547" s="53">
        <v>0</v>
      </c>
      <c r="M547" s="65">
        <f>K547*L547</f>
        <v>0</v>
      </c>
      <c r="N547" s="17"/>
      <c r="Z547" s="33">
        <f>IF(AQ547="5",BJ547,0)</f>
        <v>0</v>
      </c>
      <c r="AB547" s="33">
        <f>IF(AQ547="1",BH547,0)</f>
        <v>0</v>
      </c>
      <c r="AC547" s="33">
        <f>IF(AQ547="1",BI547,0)</f>
        <v>0</v>
      </c>
      <c r="AD547" s="33">
        <f>IF(AQ547="7",BH547,0)</f>
        <v>0</v>
      </c>
      <c r="AE547" s="33">
        <f>IF(AQ547="7",BI547,0)</f>
        <v>0</v>
      </c>
      <c r="AF547" s="33">
        <f>IF(AQ547="2",BH547,0)</f>
        <v>0</v>
      </c>
      <c r="AG547" s="33">
        <f>IF(AQ547="2",BI547,0)</f>
        <v>0</v>
      </c>
      <c r="AH547" s="33">
        <f>IF(AQ547="0",BJ547,0)</f>
        <v>0</v>
      </c>
      <c r="AI547" s="58" t="s">
        <v>63</v>
      </c>
      <c r="AJ547" s="53">
        <f>IF(AN547=0,M547,0)</f>
        <v>0</v>
      </c>
      <c r="AK547" s="53">
        <f>IF(AN547=15,M547,0)</f>
        <v>0</v>
      </c>
      <c r="AL547" s="53">
        <f>IF(AN547=21,M547,0)</f>
        <v>0</v>
      </c>
      <c r="AN547" s="33">
        <v>21</v>
      </c>
      <c r="AO547" s="33">
        <f>L547*0</f>
        <v>0</v>
      </c>
      <c r="AP547" s="33">
        <f>L547*(1-0)</f>
        <v>0</v>
      </c>
      <c r="AQ547" s="59" t="s">
        <v>80</v>
      </c>
      <c r="AV547" s="33">
        <f>AW547+AX547</f>
        <v>0</v>
      </c>
      <c r="AW547" s="33">
        <f>K547*AO547</f>
        <v>0</v>
      </c>
      <c r="AX547" s="33">
        <f>K547*AP547</f>
        <v>0</v>
      </c>
      <c r="AY547" s="61" t="s">
        <v>990</v>
      </c>
      <c r="AZ547" s="61" t="s">
        <v>1030</v>
      </c>
      <c r="BA547" s="58" t="s">
        <v>1039</v>
      </c>
      <c r="BC547" s="33">
        <f>AW547+AX547</f>
        <v>0</v>
      </c>
      <c r="BD547" s="33">
        <f>L547/(100-BE547)*100</f>
        <v>0</v>
      </c>
      <c r="BE547" s="33">
        <v>0</v>
      </c>
      <c r="BF547" s="33">
        <f>547</f>
        <v>547</v>
      </c>
      <c r="BH547" s="53">
        <f>K547*AO547</f>
        <v>0</v>
      </c>
      <c r="BI547" s="53">
        <f>K547*AP547</f>
        <v>0</v>
      </c>
      <c r="BJ547" s="53">
        <f>K547*L547</f>
        <v>0</v>
      </c>
      <c r="BK547" s="53" t="s">
        <v>1046</v>
      </c>
      <c r="BL547" s="33">
        <v>11</v>
      </c>
    </row>
    <row r="548" spans="1:14" ht="12.75">
      <c r="A548" s="17"/>
      <c r="D548" s="143" t="s">
        <v>861</v>
      </c>
      <c r="E548" s="144"/>
      <c r="F548" s="144"/>
      <c r="G548" s="144"/>
      <c r="H548" s="144"/>
      <c r="I548" s="144"/>
      <c r="K548" s="75">
        <v>715</v>
      </c>
      <c r="M548" s="14"/>
      <c r="N548" s="17"/>
    </row>
    <row r="549" spans="1:64" ht="12.75">
      <c r="A549" s="38" t="s">
        <v>203</v>
      </c>
      <c r="B549" s="45" t="s">
        <v>63</v>
      </c>
      <c r="C549" s="45" t="s">
        <v>390</v>
      </c>
      <c r="D549" s="141" t="s">
        <v>862</v>
      </c>
      <c r="E549" s="142"/>
      <c r="F549" s="142"/>
      <c r="G549" s="142"/>
      <c r="H549" s="142"/>
      <c r="I549" s="142"/>
      <c r="J549" s="45" t="s">
        <v>972</v>
      </c>
      <c r="K549" s="74">
        <v>78</v>
      </c>
      <c r="L549" s="53">
        <v>0</v>
      </c>
      <c r="M549" s="65">
        <f>K549*L549</f>
        <v>0</v>
      </c>
      <c r="N549" s="17"/>
      <c r="Z549" s="33">
        <f>IF(AQ549="5",BJ549,0)</f>
        <v>0</v>
      </c>
      <c r="AB549" s="33">
        <f>IF(AQ549="1",BH549,0)</f>
        <v>0</v>
      </c>
      <c r="AC549" s="33">
        <f>IF(AQ549="1",BI549,0)</f>
        <v>0</v>
      </c>
      <c r="AD549" s="33">
        <f>IF(AQ549="7",BH549,0)</f>
        <v>0</v>
      </c>
      <c r="AE549" s="33">
        <f>IF(AQ549="7",BI549,0)</f>
        <v>0</v>
      </c>
      <c r="AF549" s="33">
        <f>IF(AQ549="2",BH549,0)</f>
        <v>0</v>
      </c>
      <c r="AG549" s="33">
        <f>IF(AQ549="2",BI549,0)</f>
        <v>0</v>
      </c>
      <c r="AH549" s="33">
        <f>IF(AQ549="0",BJ549,0)</f>
        <v>0</v>
      </c>
      <c r="AI549" s="58" t="s">
        <v>63</v>
      </c>
      <c r="AJ549" s="53">
        <f>IF(AN549=0,M549,0)</f>
        <v>0</v>
      </c>
      <c r="AK549" s="53">
        <f>IF(AN549=15,M549,0)</f>
        <v>0</v>
      </c>
      <c r="AL549" s="53">
        <f>IF(AN549=21,M549,0)</f>
        <v>0</v>
      </c>
      <c r="AN549" s="33">
        <v>21</v>
      </c>
      <c r="AO549" s="33">
        <f>L549*0</f>
        <v>0</v>
      </c>
      <c r="AP549" s="33">
        <f>L549*(1-0)</f>
        <v>0</v>
      </c>
      <c r="AQ549" s="59" t="s">
        <v>80</v>
      </c>
      <c r="AV549" s="33">
        <f>AW549+AX549</f>
        <v>0</v>
      </c>
      <c r="AW549" s="33">
        <f>K549*AO549</f>
        <v>0</v>
      </c>
      <c r="AX549" s="33">
        <f>K549*AP549</f>
        <v>0</v>
      </c>
      <c r="AY549" s="61" t="s">
        <v>990</v>
      </c>
      <c r="AZ549" s="61" t="s">
        <v>1030</v>
      </c>
      <c r="BA549" s="58" t="s">
        <v>1039</v>
      </c>
      <c r="BC549" s="33">
        <f>AW549+AX549</f>
        <v>0</v>
      </c>
      <c r="BD549" s="33">
        <f>L549/(100-BE549)*100</f>
        <v>0</v>
      </c>
      <c r="BE549" s="33">
        <v>0</v>
      </c>
      <c r="BF549" s="33">
        <f>549</f>
        <v>549</v>
      </c>
      <c r="BH549" s="53">
        <f>K549*AO549</f>
        <v>0</v>
      </c>
      <c r="BI549" s="53">
        <f>K549*AP549</f>
        <v>0</v>
      </c>
      <c r="BJ549" s="53">
        <f>K549*L549</f>
        <v>0</v>
      </c>
      <c r="BK549" s="53" t="s">
        <v>1046</v>
      </c>
      <c r="BL549" s="33">
        <v>11</v>
      </c>
    </row>
    <row r="550" spans="1:14" ht="12.75">
      <c r="A550" s="17"/>
      <c r="D550" s="143" t="s">
        <v>863</v>
      </c>
      <c r="E550" s="144"/>
      <c r="F550" s="144"/>
      <c r="G550" s="144"/>
      <c r="H550" s="144"/>
      <c r="I550" s="144"/>
      <c r="K550" s="75">
        <v>78</v>
      </c>
      <c r="M550" s="14"/>
      <c r="N550" s="17"/>
    </row>
    <row r="551" spans="1:64" ht="12.75">
      <c r="A551" s="38" t="s">
        <v>204</v>
      </c>
      <c r="B551" s="45" t="s">
        <v>63</v>
      </c>
      <c r="C551" s="45" t="s">
        <v>391</v>
      </c>
      <c r="D551" s="141" t="s">
        <v>864</v>
      </c>
      <c r="E551" s="142"/>
      <c r="F551" s="142"/>
      <c r="G551" s="142"/>
      <c r="H551" s="142"/>
      <c r="I551" s="142"/>
      <c r="J551" s="45" t="s">
        <v>972</v>
      </c>
      <c r="K551" s="74">
        <v>670</v>
      </c>
      <c r="L551" s="53">
        <v>0</v>
      </c>
      <c r="M551" s="65">
        <f>K551*L551</f>
        <v>0</v>
      </c>
      <c r="N551" s="17"/>
      <c r="Z551" s="33">
        <f>IF(AQ551="5",BJ551,0)</f>
        <v>0</v>
      </c>
      <c r="AB551" s="33">
        <f>IF(AQ551="1",BH551,0)</f>
        <v>0</v>
      </c>
      <c r="AC551" s="33">
        <f>IF(AQ551="1",BI551,0)</f>
        <v>0</v>
      </c>
      <c r="AD551" s="33">
        <f>IF(AQ551="7",BH551,0)</f>
        <v>0</v>
      </c>
      <c r="AE551" s="33">
        <f>IF(AQ551="7",BI551,0)</f>
        <v>0</v>
      </c>
      <c r="AF551" s="33">
        <f>IF(AQ551="2",BH551,0)</f>
        <v>0</v>
      </c>
      <c r="AG551" s="33">
        <f>IF(AQ551="2",BI551,0)</f>
        <v>0</v>
      </c>
      <c r="AH551" s="33">
        <f>IF(AQ551="0",BJ551,0)</f>
        <v>0</v>
      </c>
      <c r="AI551" s="58" t="s">
        <v>63</v>
      </c>
      <c r="AJ551" s="53">
        <f>IF(AN551=0,M551,0)</f>
        <v>0</v>
      </c>
      <c r="AK551" s="53">
        <f>IF(AN551=15,M551,0)</f>
        <v>0</v>
      </c>
      <c r="AL551" s="53">
        <f>IF(AN551=21,M551,0)</f>
        <v>0</v>
      </c>
      <c r="AN551" s="33">
        <v>21</v>
      </c>
      <c r="AO551" s="33">
        <f>L551*0</f>
        <v>0</v>
      </c>
      <c r="AP551" s="33">
        <f>L551*(1-0)</f>
        <v>0</v>
      </c>
      <c r="AQ551" s="59" t="s">
        <v>80</v>
      </c>
      <c r="AV551" s="33">
        <f>AW551+AX551</f>
        <v>0</v>
      </c>
      <c r="AW551" s="33">
        <f>K551*AO551</f>
        <v>0</v>
      </c>
      <c r="AX551" s="33">
        <f>K551*AP551</f>
        <v>0</v>
      </c>
      <c r="AY551" s="61" t="s">
        <v>990</v>
      </c>
      <c r="AZ551" s="61" t="s">
        <v>1030</v>
      </c>
      <c r="BA551" s="58" t="s">
        <v>1039</v>
      </c>
      <c r="BC551" s="33">
        <f>AW551+AX551</f>
        <v>0</v>
      </c>
      <c r="BD551" s="33">
        <f>L551/(100-BE551)*100</f>
        <v>0</v>
      </c>
      <c r="BE551" s="33">
        <v>0</v>
      </c>
      <c r="BF551" s="33">
        <f>551</f>
        <v>551</v>
      </c>
      <c r="BH551" s="53">
        <f>K551*AO551</f>
        <v>0</v>
      </c>
      <c r="BI551" s="53">
        <f>K551*AP551</f>
        <v>0</v>
      </c>
      <c r="BJ551" s="53">
        <f>K551*L551</f>
        <v>0</v>
      </c>
      <c r="BK551" s="53" t="s">
        <v>1046</v>
      </c>
      <c r="BL551" s="33">
        <v>11</v>
      </c>
    </row>
    <row r="552" spans="1:14" ht="12.75">
      <c r="A552" s="17"/>
      <c r="D552" s="143" t="s">
        <v>865</v>
      </c>
      <c r="E552" s="144"/>
      <c r="F552" s="144"/>
      <c r="G552" s="144"/>
      <c r="H552" s="144"/>
      <c r="I552" s="144"/>
      <c r="K552" s="75">
        <v>670</v>
      </c>
      <c r="M552" s="14"/>
      <c r="N552" s="17"/>
    </row>
    <row r="553" spans="1:64" ht="12.75">
      <c r="A553" s="38" t="s">
        <v>205</v>
      </c>
      <c r="B553" s="45" t="s">
        <v>63</v>
      </c>
      <c r="C553" s="45" t="s">
        <v>264</v>
      </c>
      <c r="D553" s="141" t="s">
        <v>433</v>
      </c>
      <c r="E553" s="142"/>
      <c r="F553" s="142"/>
      <c r="G553" s="142"/>
      <c r="H553" s="142"/>
      <c r="I553" s="142"/>
      <c r="J553" s="45" t="s">
        <v>968</v>
      </c>
      <c r="K553" s="74">
        <v>104</v>
      </c>
      <c r="L553" s="53">
        <v>0</v>
      </c>
      <c r="M553" s="65">
        <f>K553*L553</f>
        <v>0</v>
      </c>
      <c r="N553" s="17"/>
      <c r="Z553" s="33">
        <f>IF(AQ553="5",BJ553,0)</f>
        <v>0</v>
      </c>
      <c r="AB553" s="33">
        <f>IF(AQ553="1",BH553,0)</f>
        <v>0</v>
      </c>
      <c r="AC553" s="33">
        <f>IF(AQ553="1",BI553,0)</f>
        <v>0</v>
      </c>
      <c r="AD553" s="33">
        <f>IF(AQ553="7",BH553,0)</f>
        <v>0</v>
      </c>
      <c r="AE553" s="33">
        <f>IF(AQ553="7",BI553,0)</f>
        <v>0</v>
      </c>
      <c r="AF553" s="33">
        <f>IF(AQ553="2",BH553,0)</f>
        <v>0</v>
      </c>
      <c r="AG553" s="33">
        <f>IF(AQ553="2",BI553,0)</f>
        <v>0</v>
      </c>
      <c r="AH553" s="33">
        <f>IF(AQ553="0",BJ553,0)</f>
        <v>0</v>
      </c>
      <c r="AI553" s="58" t="s">
        <v>63</v>
      </c>
      <c r="AJ553" s="53">
        <f>IF(AN553=0,M553,0)</f>
        <v>0</v>
      </c>
      <c r="AK553" s="53">
        <f>IF(AN553=15,M553,0)</f>
        <v>0</v>
      </c>
      <c r="AL553" s="53">
        <f>IF(AN553=21,M553,0)</f>
        <v>0</v>
      </c>
      <c r="AN553" s="33">
        <v>21</v>
      </c>
      <c r="AO553" s="33">
        <f>L553*0</f>
        <v>0</v>
      </c>
      <c r="AP553" s="33">
        <f>L553*(1-0)</f>
        <v>0</v>
      </c>
      <c r="AQ553" s="59" t="s">
        <v>80</v>
      </c>
      <c r="AV553" s="33">
        <f>AW553+AX553</f>
        <v>0</v>
      </c>
      <c r="AW553" s="33">
        <f>K553*AO553</f>
        <v>0</v>
      </c>
      <c r="AX553" s="33">
        <f>K553*AP553</f>
        <v>0</v>
      </c>
      <c r="AY553" s="61" t="s">
        <v>990</v>
      </c>
      <c r="AZ553" s="61" t="s">
        <v>1030</v>
      </c>
      <c r="BA553" s="58" t="s">
        <v>1039</v>
      </c>
      <c r="BC553" s="33">
        <f>AW553+AX553</f>
        <v>0</v>
      </c>
      <c r="BD553" s="33">
        <f>L553/(100-BE553)*100</f>
        <v>0</v>
      </c>
      <c r="BE553" s="33">
        <v>0</v>
      </c>
      <c r="BF553" s="33">
        <f>553</f>
        <v>553</v>
      </c>
      <c r="BH553" s="53">
        <f>K553*AO553</f>
        <v>0</v>
      </c>
      <c r="BI553" s="53">
        <f>K553*AP553</f>
        <v>0</v>
      </c>
      <c r="BJ553" s="53">
        <f>K553*L553</f>
        <v>0</v>
      </c>
      <c r="BK553" s="53" t="s">
        <v>1046</v>
      </c>
      <c r="BL553" s="33">
        <v>11</v>
      </c>
    </row>
    <row r="554" spans="1:14" ht="12.75">
      <c r="A554" s="17"/>
      <c r="D554" s="143" t="s">
        <v>866</v>
      </c>
      <c r="E554" s="144"/>
      <c r="F554" s="144"/>
      <c r="G554" s="144"/>
      <c r="H554" s="144"/>
      <c r="I554" s="144"/>
      <c r="K554" s="75">
        <v>81</v>
      </c>
      <c r="M554" s="14"/>
      <c r="N554" s="17"/>
    </row>
    <row r="555" spans="1:14" ht="12.75">
      <c r="A555" s="17"/>
      <c r="D555" s="143" t="s">
        <v>867</v>
      </c>
      <c r="E555" s="144"/>
      <c r="F555" s="144"/>
      <c r="G555" s="144"/>
      <c r="H555" s="144"/>
      <c r="I555" s="144"/>
      <c r="K555" s="75">
        <v>23</v>
      </c>
      <c r="M555" s="14"/>
      <c r="N555" s="17"/>
    </row>
    <row r="556" spans="1:64" ht="12.75">
      <c r="A556" s="38" t="s">
        <v>206</v>
      </c>
      <c r="B556" s="45" t="s">
        <v>63</v>
      </c>
      <c r="C556" s="45" t="s">
        <v>392</v>
      </c>
      <c r="D556" s="141" t="s">
        <v>868</v>
      </c>
      <c r="E556" s="142"/>
      <c r="F556" s="142"/>
      <c r="G556" s="142"/>
      <c r="H556" s="142"/>
      <c r="I556" s="142"/>
      <c r="J556" s="45" t="s">
        <v>968</v>
      </c>
      <c r="K556" s="74">
        <v>38</v>
      </c>
      <c r="L556" s="53">
        <v>0</v>
      </c>
      <c r="M556" s="65">
        <f>K556*L556</f>
        <v>0</v>
      </c>
      <c r="N556" s="17"/>
      <c r="Z556" s="33">
        <f>IF(AQ556="5",BJ556,0)</f>
        <v>0</v>
      </c>
      <c r="AB556" s="33">
        <f>IF(AQ556="1",BH556,0)</f>
        <v>0</v>
      </c>
      <c r="AC556" s="33">
        <f>IF(AQ556="1",BI556,0)</f>
        <v>0</v>
      </c>
      <c r="AD556" s="33">
        <f>IF(AQ556="7",BH556,0)</f>
        <v>0</v>
      </c>
      <c r="AE556" s="33">
        <f>IF(AQ556="7",BI556,0)</f>
        <v>0</v>
      </c>
      <c r="AF556" s="33">
        <f>IF(AQ556="2",BH556,0)</f>
        <v>0</v>
      </c>
      <c r="AG556" s="33">
        <f>IF(AQ556="2",BI556,0)</f>
        <v>0</v>
      </c>
      <c r="AH556" s="33">
        <f>IF(AQ556="0",BJ556,0)</f>
        <v>0</v>
      </c>
      <c r="AI556" s="58" t="s">
        <v>63</v>
      </c>
      <c r="AJ556" s="53">
        <f>IF(AN556=0,M556,0)</f>
        <v>0</v>
      </c>
      <c r="AK556" s="53">
        <f>IF(AN556=15,M556,0)</f>
        <v>0</v>
      </c>
      <c r="AL556" s="53">
        <f>IF(AN556=21,M556,0)</f>
        <v>0</v>
      </c>
      <c r="AN556" s="33">
        <v>21</v>
      </c>
      <c r="AO556" s="33">
        <f>L556*0</f>
        <v>0</v>
      </c>
      <c r="AP556" s="33">
        <f>L556*(1-0)</f>
        <v>0</v>
      </c>
      <c r="AQ556" s="59" t="s">
        <v>80</v>
      </c>
      <c r="AV556" s="33">
        <f>AW556+AX556</f>
        <v>0</v>
      </c>
      <c r="AW556" s="33">
        <f>K556*AO556</f>
        <v>0</v>
      </c>
      <c r="AX556" s="33">
        <f>K556*AP556</f>
        <v>0</v>
      </c>
      <c r="AY556" s="61" t="s">
        <v>990</v>
      </c>
      <c r="AZ556" s="61" t="s">
        <v>1030</v>
      </c>
      <c r="BA556" s="58" t="s">
        <v>1039</v>
      </c>
      <c r="BC556" s="33">
        <f>AW556+AX556</f>
        <v>0</v>
      </c>
      <c r="BD556" s="33">
        <f>L556/(100-BE556)*100</f>
        <v>0</v>
      </c>
      <c r="BE556" s="33">
        <v>0</v>
      </c>
      <c r="BF556" s="33">
        <f>556</f>
        <v>556</v>
      </c>
      <c r="BH556" s="53">
        <f>K556*AO556</f>
        <v>0</v>
      </c>
      <c r="BI556" s="53">
        <f>K556*AP556</f>
        <v>0</v>
      </c>
      <c r="BJ556" s="53">
        <f>K556*L556</f>
        <v>0</v>
      </c>
      <c r="BK556" s="53" t="s">
        <v>1046</v>
      </c>
      <c r="BL556" s="33">
        <v>11</v>
      </c>
    </row>
    <row r="557" spans="1:14" ht="12.75">
      <c r="A557" s="17"/>
      <c r="D557" s="143" t="s">
        <v>869</v>
      </c>
      <c r="E557" s="144"/>
      <c r="F557" s="144"/>
      <c r="G557" s="144"/>
      <c r="H557" s="144"/>
      <c r="I557" s="144"/>
      <c r="K557" s="75">
        <v>38</v>
      </c>
      <c r="M557" s="14"/>
      <c r="N557" s="17"/>
    </row>
    <row r="558" spans="1:47" ht="12.75">
      <c r="A558" s="37"/>
      <c r="B558" s="44" t="s">
        <v>63</v>
      </c>
      <c r="C558" s="44" t="s">
        <v>198</v>
      </c>
      <c r="D558" s="139" t="s">
        <v>43</v>
      </c>
      <c r="E558" s="140"/>
      <c r="F558" s="140"/>
      <c r="G558" s="140"/>
      <c r="H558" s="140"/>
      <c r="I558" s="140"/>
      <c r="J558" s="50" t="s">
        <v>59</v>
      </c>
      <c r="K558" s="50" t="s">
        <v>59</v>
      </c>
      <c r="L558" s="50" t="s">
        <v>59</v>
      </c>
      <c r="M558" s="64">
        <f>SUM(M559:M559)</f>
        <v>0</v>
      </c>
      <c r="N558" s="17"/>
      <c r="AI558" s="58" t="s">
        <v>63</v>
      </c>
      <c r="AS558" s="68">
        <f>SUM(AJ559:AJ559)</f>
        <v>0</v>
      </c>
      <c r="AT558" s="68">
        <f>SUM(AK559:AK559)</f>
        <v>0</v>
      </c>
      <c r="AU558" s="68">
        <f>SUM(AL559:AL559)</f>
        <v>0</v>
      </c>
    </row>
    <row r="559" spans="1:64" ht="12.75">
      <c r="A559" s="38" t="s">
        <v>207</v>
      </c>
      <c r="B559" s="45" t="s">
        <v>63</v>
      </c>
      <c r="C559" s="45" t="s">
        <v>393</v>
      </c>
      <c r="D559" s="141" t="s">
        <v>870</v>
      </c>
      <c r="E559" s="142"/>
      <c r="F559" s="142"/>
      <c r="G559" s="142"/>
      <c r="H559" s="142"/>
      <c r="I559" s="142"/>
      <c r="J559" s="45" t="s">
        <v>973</v>
      </c>
      <c r="K559" s="74">
        <v>77.704</v>
      </c>
      <c r="L559" s="53">
        <v>0</v>
      </c>
      <c r="M559" s="65">
        <f>K559*L559</f>
        <v>0</v>
      </c>
      <c r="N559" s="17"/>
      <c r="Z559" s="33">
        <f>IF(AQ559="5",BJ559,0)</f>
        <v>0</v>
      </c>
      <c r="AB559" s="33">
        <f>IF(AQ559="1",BH559,0)</f>
        <v>0</v>
      </c>
      <c r="AC559" s="33">
        <f>IF(AQ559="1",BI559,0)</f>
        <v>0</v>
      </c>
      <c r="AD559" s="33">
        <f>IF(AQ559="7",BH559,0)</f>
        <v>0</v>
      </c>
      <c r="AE559" s="33">
        <f>IF(AQ559="7",BI559,0)</f>
        <v>0</v>
      </c>
      <c r="AF559" s="33">
        <f>IF(AQ559="2",BH559,0)</f>
        <v>0</v>
      </c>
      <c r="AG559" s="33">
        <f>IF(AQ559="2",BI559,0)</f>
        <v>0</v>
      </c>
      <c r="AH559" s="33">
        <f>IF(AQ559="0",BJ559,0)</f>
        <v>0</v>
      </c>
      <c r="AI559" s="58" t="s">
        <v>63</v>
      </c>
      <c r="AJ559" s="53">
        <f>IF(AN559=0,M559,0)</f>
        <v>0</v>
      </c>
      <c r="AK559" s="53">
        <f>IF(AN559=15,M559,0)</f>
        <v>0</v>
      </c>
      <c r="AL559" s="53">
        <f>IF(AN559=21,M559,0)</f>
        <v>0</v>
      </c>
      <c r="AN559" s="33">
        <v>21</v>
      </c>
      <c r="AO559" s="33">
        <f>L559*0</f>
        <v>0</v>
      </c>
      <c r="AP559" s="33">
        <f>L559*(1-0)</f>
        <v>0</v>
      </c>
      <c r="AQ559" s="59" t="s">
        <v>80</v>
      </c>
      <c r="AV559" s="33">
        <f>AW559+AX559</f>
        <v>0</v>
      </c>
      <c r="AW559" s="33">
        <f>K559*AO559</f>
        <v>0</v>
      </c>
      <c r="AX559" s="33">
        <f>K559*AP559</f>
        <v>0</v>
      </c>
      <c r="AY559" s="61" t="s">
        <v>1015</v>
      </c>
      <c r="AZ559" s="61" t="s">
        <v>1030</v>
      </c>
      <c r="BA559" s="58" t="s">
        <v>1039</v>
      </c>
      <c r="BC559" s="33">
        <f>AW559+AX559</f>
        <v>0</v>
      </c>
      <c r="BD559" s="33">
        <f>L559/(100-BE559)*100</f>
        <v>0</v>
      </c>
      <c r="BE559" s="33">
        <v>0</v>
      </c>
      <c r="BF559" s="33">
        <f>559</f>
        <v>559</v>
      </c>
      <c r="BH559" s="53">
        <f>K559*AO559</f>
        <v>0</v>
      </c>
      <c r="BI559" s="53">
        <f>K559*AP559</f>
        <v>0</v>
      </c>
      <c r="BJ559" s="53">
        <f>K559*L559</f>
        <v>0</v>
      </c>
      <c r="BK559" s="53" t="s">
        <v>1046</v>
      </c>
      <c r="BL559" s="33">
        <v>119</v>
      </c>
    </row>
    <row r="560" spans="1:14" ht="12.75">
      <c r="A560" s="17"/>
      <c r="D560" s="143" t="s">
        <v>871</v>
      </c>
      <c r="E560" s="144"/>
      <c r="F560" s="144"/>
      <c r="G560" s="144"/>
      <c r="H560" s="144"/>
      <c r="I560" s="144"/>
      <c r="K560" s="75">
        <v>38.483</v>
      </c>
      <c r="M560" s="14"/>
      <c r="N560" s="17"/>
    </row>
    <row r="561" spans="1:14" ht="12.75">
      <c r="A561" s="17"/>
      <c r="D561" s="143" t="s">
        <v>872</v>
      </c>
      <c r="E561" s="144"/>
      <c r="F561" s="144"/>
      <c r="G561" s="144"/>
      <c r="H561" s="144"/>
      <c r="I561" s="144"/>
      <c r="K561" s="75">
        <v>11.137</v>
      </c>
      <c r="M561" s="14"/>
      <c r="N561" s="17"/>
    </row>
    <row r="562" spans="1:14" ht="12.75">
      <c r="A562" s="17"/>
      <c r="D562" s="143" t="s">
        <v>873</v>
      </c>
      <c r="E562" s="144"/>
      <c r="F562" s="144"/>
      <c r="G562" s="144"/>
      <c r="H562" s="144"/>
      <c r="I562" s="144"/>
      <c r="K562" s="75">
        <v>20.864</v>
      </c>
      <c r="M562" s="14"/>
      <c r="N562" s="17"/>
    </row>
    <row r="563" spans="1:14" ht="12.75">
      <c r="A563" s="17"/>
      <c r="D563" s="143" t="s">
        <v>874</v>
      </c>
      <c r="E563" s="144"/>
      <c r="F563" s="144"/>
      <c r="G563" s="144"/>
      <c r="H563" s="144"/>
      <c r="I563" s="144"/>
      <c r="K563" s="75">
        <v>7.22</v>
      </c>
      <c r="M563" s="14"/>
      <c r="N563" s="17"/>
    </row>
    <row r="564" spans="1:47" ht="12.75">
      <c r="A564" s="37"/>
      <c r="B564" s="44" t="s">
        <v>63</v>
      </c>
      <c r="C564" s="44" t="s">
        <v>91</v>
      </c>
      <c r="D564" s="139" t="s">
        <v>875</v>
      </c>
      <c r="E564" s="140"/>
      <c r="F564" s="140"/>
      <c r="G564" s="140"/>
      <c r="H564" s="140"/>
      <c r="I564" s="140"/>
      <c r="J564" s="50" t="s">
        <v>59</v>
      </c>
      <c r="K564" s="50" t="s">
        <v>59</v>
      </c>
      <c r="L564" s="50" t="s">
        <v>59</v>
      </c>
      <c r="M564" s="64">
        <f>SUM(M565:M571)</f>
        <v>0</v>
      </c>
      <c r="N564" s="17"/>
      <c r="AI564" s="58" t="s">
        <v>63</v>
      </c>
      <c r="AS564" s="68">
        <f>SUM(AJ565:AJ571)</f>
        <v>0</v>
      </c>
      <c r="AT564" s="68">
        <f>SUM(AK565:AK571)</f>
        <v>0</v>
      </c>
      <c r="AU564" s="68">
        <f>SUM(AL565:AL571)</f>
        <v>0</v>
      </c>
    </row>
    <row r="565" spans="1:64" ht="12.75">
      <c r="A565" s="38" t="s">
        <v>208</v>
      </c>
      <c r="B565" s="45" t="s">
        <v>63</v>
      </c>
      <c r="C565" s="45" t="s">
        <v>394</v>
      </c>
      <c r="D565" s="141" t="s">
        <v>876</v>
      </c>
      <c r="E565" s="142"/>
      <c r="F565" s="142"/>
      <c r="G565" s="142"/>
      <c r="H565" s="142"/>
      <c r="I565" s="142"/>
      <c r="J565" s="45" t="s">
        <v>973</v>
      </c>
      <c r="K565" s="74">
        <v>26.088</v>
      </c>
      <c r="L565" s="53">
        <v>0</v>
      </c>
      <c r="M565" s="65">
        <f>K565*L565</f>
        <v>0</v>
      </c>
      <c r="N565" s="17"/>
      <c r="Z565" s="33">
        <f>IF(AQ565="5",BJ565,0)</f>
        <v>0</v>
      </c>
      <c r="AB565" s="33">
        <f>IF(AQ565="1",BH565,0)</f>
        <v>0</v>
      </c>
      <c r="AC565" s="33">
        <f>IF(AQ565="1",BI565,0)</f>
        <v>0</v>
      </c>
      <c r="AD565" s="33">
        <f>IF(AQ565="7",BH565,0)</f>
        <v>0</v>
      </c>
      <c r="AE565" s="33">
        <f>IF(AQ565="7",BI565,0)</f>
        <v>0</v>
      </c>
      <c r="AF565" s="33">
        <f>IF(AQ565="2",BH565,0)</f>
        <v>0</v>
      </c>
      <c r="AG565" s="33">
        <f>IF(AQ565="2",BI565,0)</f>
        <v>0</v>
      </c>
      <c r="AH565" s="33">
        <f>IF(AQ565="0",BJ565,0)</f>
        <v>0</v>
      </c>
      <c r="AI565" s="58" t="s">
        <v>63</v>
      </c>
      <c r="AJ565" s="53">
        <f>IF(AN565=0,M565,0)</f>
        <v>0</v>
      </c>
      <c r="AK565" s="53">
        <f>IF(AN565=15,M565,0)</f>
        <v>0</v>
      </c>
      <c r="AL565" s="53">
        <f>IF(AN565=21,M565,0)</f>
        <v>0</v>
      </c>
      <c r="AN565" s="33">
        <v>21</v>
      </c>
      <c r="AO565" s="33">
        <f>L565*0</f>
        <v>0</v>
      </c>
      <c r="AP565" s="33">
        <f>L565*(1-0)</f>
        <v>0</v>
      </c>
      <c r="AQ565" s="59" t="s">
        <v>80</v>
      </c>
      <c r="AV565" s="33">
        <f>AW565+AX565</f>
        <v>0</v>
      </c>
      <c r="AW565" s="33">
        <f>K565*AO565</f>
        <v>0</v>
      </c>
      <c r="AX565" s="33">
        <f>K565*AP565</f>
        <v>0</v>
      </c>
      <c r="AY565" s="61" t="s">
        <v>1016</v>
      </c>
      <c r="AZ565" s="61" t="s">
        <v>1030</v>
      </c>
      <c r="BA565" s="58" t="s">
        <v>1039</v>
      </c>
      <c r="BC565" s="33">
        <f>AW565+AX565</f>
        <v>0</v>
      </c>
      <c r="BD565" s="33">
        <f>L565/(100-BE565)*100</f>
        <v>0</v>
      </c>
      <c r="BE565" s="33">
        <v>0</v>
      </c>
      <c r="BF565" s="33">
        <f>565</f>
        <v>565</v>
      </c>
      <c r="BH565" s="53">
        <f>K565*AO565</f>
        <v>0</v>
      </c>
      <c r="BI565" s="53">
        <f>K565*AP565</f>
        <v>0</v>
      </c>
      <c r="BJ565" s="53">
        <f>K565*L565</f>
        <v>0</v>
      </c>
      <c r="BK565" s="53" t="s">
        <v>1046</v>
      </c>
      <c r="BL565" s="33">
        <v>12</v>
      </c>
    </row>
    <row r="566" spans="1:14" ht="12.75">
      <c r="A566" s="17"/>
      <c r="C566" s="48" t="s">
        <v>269</v>
      </c>
      <c r="D566" s="145" t="s">
        <v>877</v>
      </c>
      <c r="E566" s="146"/>
      <c r="F566" s="146"/>
      <c r="G566" s="146"/>
      <c r="H566" s="146"/>
      <c r="I566" s="146"/>
      <c r="J566" s="146"/>
      <c r="K566" s="146"/>
      <c r="L566" s="146"/>
      <c r="M566" s="147"/>
      <c r="N566" s="17"/>
    </row>
    <row r="567" spans="1:14" ht="12.75">
      <c r="A567" s="17"/>
      <c r="D567" s="143" t="s">
        <v>878</v>
      </c>
      <c r="E567" s="144"/>
      <c r="F567" s="144"/>
      <c r="G567" s="144"/>
      <c r="H567" s="144"/>
      <c r="I567" s="144"/>
      <c r="K567" s="75">
        <v>11.591</v>
      </c>
      <c r="M567" s="14"/>
      <c r="N567" s="17"/>
    </row>
    <row r="568" spans="1:14" ht="12.75">
      <c r="A568" s="17"/>
      <c r="D568" s="143" t="s">
        <v>879</v>
      </c>
      <c r="E568" s="144"/>
      <c r="F568" s="144"/>
      <c r="G568" s="144"/>
      <c r="H568" s="144"/>
      <c r="I568" s="144"/>
      <c r="K568" s="75">
        <v>5.055</v>
      </c>
      <c r="M568" s="14"/>
      <c r="N568" s="17"/>
    </row>
    <row r="569" spans="1:14" ht="12.75">
      <c r="A569" s="17"/>
      <c r="D569" s="143" t="s">
        <v>880</v>
      </c>
      <c r="E569" s="144"/>
      <c r="F569" s="144"/>
      <c r="G569" s="144"/>
      <c r="H569" s="144"/>
      <c r="I569" s="144"/>
      <c r="K569" s="75">
        <v>7.75</v>
      </c>
      <c r="M569" s="14"/>
      <c r="N569" s="17"/>
    </row>
    <row r="570" spans="1:14" ht="12.75">
      <c r="A570" s="17"/>
      <c r="D570" s="143" t="s">
        <v>881</v>
      </c>
      <c r="E570" s="144"/>
      <c r="F570" s="144"/>
      <c r="G570" s="144"/>
      <c r="H570" s="144"/>
      <c r="I570" s="144"/>
      <c r="K570" s="75">
        <v>1.692</v>
      </c>
      <c r="M570" s="14"/>
      <c r="N570" s="17"/>
    </row>
    <row r="571" spans="1:64" ht="12.75">
      <c r="A571" s="38" t="s">
        <v>209</v>
      </c>
      <c r="B571" s="45" t="s">
        <v>63</v>
      </c>
      <c r="C571" s="45" t="s">
        <v>395</v>
      </c>
      <c r="D571" s="141" t="s">
        <v>882</v>
      </c>
      <c r="E571" s="142"/>
      <c r="F571" s="142"/>
      <c r="G571" s="142"/>
      <c r="H571" s="142"/>
      <c r="I571" s="142"/>
      <c r="J571" s="45" t="s">
        <v>973</v>
      </c>
      <c r="K571" s="74">
        <v>4.8</v>
      </c>
      <c r="L571" s="53">
        <v>0</v>
      </c>
      <c r="M571" s="65">
        <f>K571*L571</f>
        <v>0</v>
      </c>
      <c r="N571" s="17"/>
      <c r="Z571" s="33">
        <f>IF(AQ571="5",BJ571,0)</f>
        <v>0</v>
      </c>
      <c r="AB571" s="33">
        <f>IF(AQ571="1",BH571,0)</f>
        <v>0</v>
      </c>
      <c r="AC571" s="33">
        <f>IF(AQ571="1",BI571,0)</f>
        <v>0</v>
      </c>
      <c r="AD571" s="33">
        <f>IF(AQ571="7",BH571,0)</f>
        <v>0</v>
      </c>
      <c r="AE571" s="33">
        <f>IF(AQ571="7",BI571,0)</f>
        <v>0</v>
      </c>
      <c r="AF571" s="33">
        <f>IF(AQ571="2",BH571,0)</f>
        <v>0</v>
      </c>
      <c r="AG571" s="33">
        <f>IF(AQ571="2",BI571,0)</f>
        <v>0</v>
      </c>
      <c r="AH571" s="33">
        <f>IF(AQ571="0",BJ571,0)</f>
        <v>0</v>
      </c>
      <c r="AI571" s="58" t="s">
        <v>63</v>
      </c>
      <c r="AJ571" s="53">
        <f>IF(AN571=0,M571,0)</f>
        <v>0</v>
      </c>
      <c r="AK571" s="53">
        <f>IF(AN571=15,M571,0)</f>
        <v>0</v>
      </c>
      <c r="AL571" s="53">
        <f>IF(AN571=21,M571,0)</f>
        <v>0</v>
      </c>
      <c r="AN571" s="33">
        <v>21</v>
      </c>
      <c r="AO571" s="33">
        <f>L571*0</f>
        <v>0</v>
      </c>
      <c r="AP571" s="33">
        <f>L571*(1-0)</f>
        <v>0</v>
      </c>
      <c r="AQ571" s="59" t="s">
        <v>80</v>
      </c>
      <c r="AV571" s="33">
        <f>AW571+AX571</f>
        <v>0</v>
      </c>
      <c r="AW571" s="33">
        <f>K571*AO571</f>
        <v>0</v>
      </c>
      <c r="AX571" s="33">
        <f>K571*AP571</f>
        <v>0</v>
      </c>
      <c r="AY571" s="61" t="s">
        <v>1016</v>
      </c>
      <c r="AZ571" s="61" t="s">
        <v>1030</v>
      </c>
      <c r="BA571" s="58" t="s">
        <v>1039</v>
      </c>
      <c r="BC571" s="33">
        <f>AW571+AX571</f>
        <v>0</v>
      </c>
      <c r="BD571" s="33">
        <f>L571/(100-BE571)*100</f>
        <v>0</v>
      </c>
      <c r="BE571" s="33">
        <v>0</v>
      </c>
      <c r="BF571" s="33">
        <f>571</f>
        <v>571</v>
      </c>
      <c r="BH571" s="53">
        <f>K571*AO571</f>
        <v>0</v>
      </c>
      <c r="BI571" s="53">
        <f>K571*AP571</f>
        <v>0</v>
      </c>
      <c r="BJ571" s="53">
        <f>K571*L571</f>
        <v>0</v>
      </c>
      <c r="BK571" s="53" t="s">
        <v>1046</v>
      </c>
      <c r="BL571" s="33">
        <v>12</v>
      </c>
    </row>
    <row r="572" spans="1:14" ht="12.75">
      <c r="A572" s="17"/>
      <c r="D572" s="143" t="s">
        <v>883</v>
      </c>
      <c r="E572" s="144"/>
      <c r="F572" s="144"/>
      <c r="G572" s="144"/>
      <c r="H572" s="144"/>
      <c r="I572" s="144"/>
      <c r="K572" s="75">
        <v>4.8</v>
      </c>
      <c r="M572" s="14"/>
      <c r="N572" s="17"/>
    </row>
    <row r="573" spans="1:47" ht="12.75">
      <c r="A573" s="37"/>
      <c r="B573" s="44" t="s">
        <v>63</v>
      </c>
      <c r="C573" s="44" t="s">
        <v>95</v>
      </c>
      <c r="D573" s="139" t="s">
        <v>528</v>
      </c>
      <c r="E573" s="140"/>
      <c r="F573" s="140"/>
      <c r="G573" s="140"/>
      <c r="H573" s="140"/>
      <c r="I573" s="140"/>
      <c r="J573" s="50" t="s">
        <v>59</v>
      </c>
      <c r="K573" s="50" t="s">
        <v>59</v>
      </c>
      <c r="L573" s="50" t="s">
        <v>59</v>
      </c>
      <c r="M573" s="64">
        <f>SUM(M574:M582)</f>
        <v>0</v>
      </c>
      <c r="N573" s="17"/>
      <c r="AI573" s="58" t="s">
        <v>63</v>
      </c>
      <c r="AS573" s="68">
        <f>SUM(AJ574:AJ582)</f>
        <v>0</v>
      </c>
      <c r="AT573" s="68">
        <f>SUM(AK574:AK582)</f>
        <v>0</v>
      </c>
      <c r="AU573" s="68">
        <f>SUM(AL574:AL582)</f>
        <v>0</v>
      </c>
    </row>
    <row r="574" spans="1:64" ht="12.75">
      <c r="A574" s="38" t="s">
        <v>210</v>
      </c>
      <c r="B574" s="45" t="s">
        <v>63</v>
      </c>
      <c r="C574" s="45" t="s">
        <v>396</v>
      </c>
      <c r="D574" s="141" t="s">
        <v>884</v>
      </c>
      <c r="E574" s="142"/>
      <c r="F574" s="142"/>
      <c r="G574" s="142"/>
      <c r="H574" s="142"/>
      <c r="I574" s="142"/>
      <c r="J574" s="45" t="s">
        <v>975</v>
      </c>
      <c r="K574" s="74">
        <v>1</v>
      </c>
      <c r="L574" s="53">
        <v>0</v>
      </c>
      <c r="M574" s="65">
        <f>K574*L574</f>
        <v>0</v>
      </c>
      <c r="N574" s="17"/>
      <c r="Z574" s="33">
        <f>IF(AQ574="5",BJ574,0)</f>
        <v>0</v>
      </c>
      <c r="AB574" s="33">
        <f>IF(AQ574="1",BH574,0)</f>
        <v>0</v>
      </c>
      <c r="AC574" s="33">
        <f>IF(AQ574="1",BI574,0)</f>
        <v>0</v>
      </c>
      <c r="AD574" s="33">
        <f>IF(AQ574="7",BH574,0)</f>
        <v>0</v>
      </c>
      <c r="AE574" s="33">
        <f>IF(AQ574="7",BI574,0)</f>
        <v>0</v>
      </c>
      <c r="AF574" s="33">
        <f>IF(AQ574="2",BH574,0)</f>
        <v>0</v>
      </c>
      <c r="AG574" s="33">
        <f>IF(AQ574="2",BI574,0)</f>
        <v>0</v>
      </c>
      <c r="AH574" s="33">
        <f>IF(AQ574="0",BJ574,0)</f>
        <v>0</v>
      </c>
      <c r="AI574" s="58" t="s">
        <v>63</v>
      </c>
      <c r="AJ574" s="53">
        <f>IF(AN574=0,M574,0)</f>
        <v>0</v>
      </c>
      <c r="AK574" s="53">
        <f>IF(AN574=15,M574,0)</f>
        <v>0</v>
      </c>
      <c r="AL574" s="53">
        <f>IF(AN574=21,M574,0)</f>
        <v>0</v>
      </c>
      <c r="AN574" s="33">
        <v>21</v>
      </c>
      <c r="AO574" s="33">
        <f>L574*0</f>
        <v>0</v>
      </c>
      <c r="AP574" s="33">
        <f>L574*(1-0)</f>
        <v>0</v>
      </c>
      <c r="AQ574" s="59" t="s">
        <v>80</v>
      </c>
      <c r="AV574" s="33">
        <f>AW574+AX574</f>
        <v>0</v>
      </c>
      <c r="AW574" s="33">
        <f>K574*AO574</f>
        <v>0</v>
      </c>
      <c r="AX574" s="33">
        <f>K574*AP574</f>
        <v>0</v>
      </c>
      <c r="AY574" s="61" t="s">
        <v>993</v>
      </c>
      <c r="AZ574" s="61" t="s">
        <v>1030</v>
      </c>
      <c r="BA574" s="58" t="s">
        <v>1039</v>
      </c>
      <c r="BC574" s="33">
        <f>AW574+AX574</f>
        <v>0</v>
      </c>
      <c r="BD574" s="33">
        <f>L574/(100-BE574)*100</f>
        <v>0</v>
      </c>
      <c r="BE574" s="33">
        <v>0</v>
      </c>
      <c r="BF574" s="33">
        <f>574</f>
        <v>574</v>
      </c>
      <c r="BH574" s="53">
        <f>K574*AO574</f>
        <v>0</v>
      </c>
      <c r="BI574" s="53">
        <f>K574*AP574</f>
        <v>0</v>
      </c>
      <c r="BJ574" s="53">
        <f>K574*L574</f>
        <v>0</v>
      </c>
      <c r="BK574" s="53" t="s">
        <v>1046</v>
      </c>
      <c r="BL574" s="33">
        <v>16</v>
      </c>
    </row>
    <row r="575" spans="1:14" ht="12.75">
      <c r="A575" s="17"/>
      <c r="D575" s="143" t="s">
        <v>663</v>
      </c>
      <c r="E575" s="144"/>
      <c r="F575" s="144"/>
      <c r="G575" s="144"/>
      <c r="H575" s="144"/>
      <c r="I575" s="144"/>
      <c r="K575" s="75">
        <v>1</v>
      </c>
      <c r="M575" s="14"/>
      <c r="N575" s="17"/>
    </row>
    <row r="576" spans="1:64" ht="12.75">
      <c r="A576" s="38" t="s">
        <v>211</v>
      </c>
      <c r="B576" s="45" t="s">
        <v>63</v>
      </c>
      <c r="C576" s="45" t="s">
        <v>397</v>
      </c>
      <c r="D576" s="141" t="s">
        <v>885</v>
      </c>
      <c r="E576" s="142"/>
      <c r="F576" s="142"/>
      <c r="G576" s="142"/>
      <c r="H576" s="142"/>
      <c r="I576" s="142"/>
      <c r="J576" s="45" t="s">
        <v>975</v>
      </c>
      <c r="K576" s="74">
        <v>1</v>
      </c>
      <c r="L576" s="53">
        <v>0</v>
      </c>
      <c r="M576" s="65">
        <f>K576*L576</f>
        <v>0</v>
      </c>
      <c r="N576" s="17"/>
      <c r="Z576" s="33">
        <f>IF(AQ576="5",BJ576,0)</f>
        <v>0</v>
      </c>
      <c r="AB576" s="33">
        <f>IF(AQ576="1",BH576,0)</f>
        <v>0</v>
      </c>
      <c r="AC576" s="33">
        <f>IF(AQ576="1",BI576,0)</f>
        <v>0</v>
      </c>
      <c r="AD576" s="33">
        <f>IF(AQ576="7",BH576,0)</f>
        <v>0</v>
      </c>
      <c r="AE576" s="33">
        <f>IF(AQ576="7",BI576,0)</f>
        <v>0</v>
      </c>
      <c r="AF576" s="33">
        <f>IF(AQ576="2",BH576,0)</f>
        <v>0</v>
      </c>
      <c r="AG576" s="33">
        <f>IF(AQ576="2",BI576,0)</f>
        <v>0</v>
      </c>
      <c r="AH576" s="33">
        <f>IF(AQ576="0",BJ576,0)</f>
        <v>0</v>
      </c>
      <c r="AI576" s="58" t="s">
        <v>63</v>
      </c>
      <c r="AJ576" s="53">
        <f>IF(AN576=0,M576,0)</f>
        <v>0</v>
      </c>
      <c r="AK576" s="53">
        <f>IF(AN576=15,M576,0)</f>
        <v>0</v>
      </c>
      <c r="AL576" s="53">
        <f>IF(AN576=21,M576,0)</f>
        <v>0</v>
      </c>
      <c r="AN576" s="33">
        <v>21</v>
      </c>
      <c r="AO576" s="33">
        <f>L576*0</f>
        <v>0</v>
      </c>
      <c r="AP576" s="33">
        <f>L576*(1-0)</f>
        <v>0</v>
      </c>
      <c r="AQ576" s="59" t="s">
        <v>80</v>
      </c>
      <c r="AV576" s="33">
        <f>AW576+AX576</f>
        <v>0</v>
      </c>
      <c r="AW576" s="33">
        <f>K576*AO576</f>
        <v>0</v>
      </c>
      <c r="AX576" s="33">
        <f>K576*AP576</f>
        <v>0</v>
      </c>
      <c r="AY576" s="61" t="s">
        <v>993</v>
      </c>
      <c r="AZ576" s="61" t="s">
        <v>1030</v>
      </c>
      <c r="BA576" s="58" t="s">
        <v>1039</v>
      </c>
      <c r="BC576" s="33">
        <f>AW576+AX576</f>
        <v>0</v>
      </c>
      <c r="BD576" s="33">
        <f>L576/(100-BE576)*100</f>
        <v>0</v>
      </c>
      <c r="BE576" s="33">
        <v>0</v>
      </c>
      <c r="BF576" s="33">
        <f>576</f>
        <v>576</v>
      </c>
      <c r="BH576" s="53">
        <f>K576*AO576</f>
        <v>0</v>
      </c>
      <c r="BI576" s="53">
        <f>K576*AP576</f>
        <v>0</v>
      </c>
      <c r="BJ576" s="53">
        <f>K576*L576</f>
        <v>0</v>
      </c>
      <c r="BK576" s="53" t="s">
        <v>1046</v>
      </c>
      <c r="BL576" s="33">
        <v>16</v>
      </c>
    </row>
    <row r="577" spans="1:14" ht="12.75">
      <c r="A577" s="17"/>
      <c r="D577" s="143" t="s">
        <v>663</v>
      </c>
      <c r="E577" s="144"/>
      <c r="F577" s="144"/>
      <c r="G577" s="144"/>
      <c r="H577" s="144"/>
      <c r="I577" s="144"/>
      <c r="K577" s="75">
        <v>1</v>
      </c>
      <c r="M577" s="14"/>
      <c r="N577" s="17"/>
    </row>
    <row r="578" spans="1:64" ht="12.75">
      <c r="A578" s="38" t="s">
        <v>212</v>
      </c>
      <c r="B578" s="45" t="s">
        <v>63</v>
      </c>
      <c r="C578" s="45" t="s">
        <v>398</v>
      </c>
      <c r="D578" s="141" t="s">
        <v>886</v>
      </c>
      <c r="E578" s="142"/>
      <c r="F578" s="142"/>
      <c r="G578" s="142"/>
      <c r="H578" s="142"/>
      <c r="I578" s="142"/>
      <c r="J578" s="45" t="s">
        <v>975</v>
      </c>
      <c r="K578" s="74">
        <v>1</v>
      </c>
      <c r="L578" s="53">
        <v>0</v>
      </c>
      <c r="M578" s="65">
        <f>K578*L578</f>
        <v>0</v>
      </c>
      <c r="N578" s="17"/>
      <c r="Z578" s="33">
        <f>IF(AQ578="5",BJ578,0)</f>
        <v>0</v>
      </c>
      <c r="AB578" s="33">
        <f>IF(AQ578="1",BH578,0)</f>
        <v>0</v>
      </c>
      <c r="AC578" s="33">
        <f>IF(AQ578="1",BI578,0)</f>
        <v>0</v>
      </c>
      <c r="AD578" s="33">
        <f>IF(AQ578="7",BH578,0)</f>
        <v>0</v>
      </c>
      <c r="AE578" s="33">
        <f>IF(AQ578="7",BI578,0)</f>
        <v>0</v>
      </c>
      <c r="AF578" s="33">
        <f>IF(AQ578="2",BH578,0)</f>
        <v>0</v>
      </c>
      <c r="AG578" s="33">
        <f>IF(AQ578="2",BI578,0)</f>
        <v>0</v>
      </c>
      <c r="AH578" s="33">
        <f>IF(AQ578="0",BJ578,0)</f>
        <v>0</v>
      </c>
      <c r="AI578" s="58" t="s">
        <v>63</v>
      </c>
      <c r="AJ578" s="53">
        <f>IF(AN578=0,M578,0)</f>
        <v>0</v>
      </c>
      <c r="AK578" s="53">
        <f>IF(AN578=15,M578,0)</f>
        <v>0</v>
      </c>
      <c r="AL578" s="53">
        <f>IF(AN578=21,M578,0)</f>
        <v>0</v>
      </c>
      <c r="AN578" s="33">
        <v>21</v>
      </c>
      <c r="AO578" s="33">
        <f>L578*0</f>
        <v>0</v>
      </c>
      <c r="AP578" s="33">
        <f>L578*(1-0)</f>
        <v>0</v>
      </c>
      <c r="AQ578" s="59" t="s">
        <v>80</v>
      </c>
      <c r="AV578" s="33">
        <f>AW578+AX578</f>
        <v>0</v>
      </c>
      <c r="AW578" s="33">
        <f>K578*AO578</f>
        <v>0</v>
      </c>
      <c r="AX578" s="33">
        <f>K578*AP578</f>
        <v>0</v>
      </c>
      <c r="AY578" s="61" t="s">
        <v>993</v>
      </c>
      <c r="AZ578" s="61" t="s">
        <v>1030</v>
      </c>
      <c r="BA578" s="58" t="s">
        <v>1039</v>
      </c>
      <c r="BC578" s="33">
        <f>AW578+AX578</f>
        <v>0</v>
      </c>
      <c r="BD578" s="33">
        <f>L578/(100-BE578)*100</f>
        <v>0</v>
      </c>
      <c r="BE578" s="33">
        <v>0</v>
      </c>
      <c r="BF578" s="33">
        <f>578</f>
        <v>578</v>
      </c>
      <c r="BH578" s="53">
        <f>K578*AO578</f>
        <v>0</v>
      </c>
      <c r="BI578" s="53">
        <f>K578*AP578</f>
        <v>0</v>
      </c>
      <c r="BJ578" s="53">
        <f>K578*L578</f>
        <v>0</v>
      </c>
      <c r="BK578" s="53" t="s">
        <v>1046</v>
      </c>
      <c r="BL578" s="33">
        <v>16</v>
      </c>
    </row>
    <row r="579" spans="1:14" ht="12.75">
      <c r="A579" s="17"/>
      <c r="D579" s="143" t="s">
        <v>663</v>
      </c>
      <c r="E579" s="144"/>
      <c r="F579" s="144"/>
      <c r="G579" s="144"/>
      <c r="H579" s="144"/>
      <c r="I579" s="144"/>
      <c r="K579" s="75">
        <v>1</v>
      </c>
      <c r="M579" s="14"/>
      <c r="N579" s="17"/>
    </row>
    <row r="580" spans="1:64" ht="12.75">
      <c r="A580" s="38" t="s">
        <v>213</v>
      </c>
      <c r="B580" s="45" t="s">
        <v>63</v>
      </c>
      <c r="C580" s="45" t="s">
        <v>279</v>
      </c>
      <c r="D580" s="141" t="s">
        <v>529</v>
      </c>
      <c r="E580" s="142"/>
      <c r="F580" s="142"/>
      <c r="G580" s="142"/>
      <c r="H580" s="142"/>
      <c r="I580" s="142"/>
      <c r="J580" s="45" t="s">
        <v>973</v>
      </c>
      <c r="K580" s="74">
        <v>31</v>
      </c>
      <c r="L580" s="53">
        <v>0</v>
      </c>
      <c r="M580" s="65">
        <f>K580*L580</f>
        <v>0</v>
      </c>
      <c r="N580" s="17"/>
      <c r="Z580" s="33">
        <f>IF(AQ580="5",BJ580,0)</f>
        <v>0</v>
      </c>
      <c r="AB580" s="33">
        <f>IF(AQ580="1",BH580,0)</f>
        <v>0</v>
      </c>
      <c r="AC580" s="33">
        <f>IF(AQ580="1",BI580,0)</f>
        <v>0</v>
      </c>
      <c r="AD580" s="33">
        <f>IF(AQ580="7",BH580,0)</f>
        <v>0</v>
      </c>
      <c r="AE580" s="33">
        <f>IF(AQ580="7",BI580,0)</f>
        <v>0</v>
      </c>
      <c r="AF580" s="33">
        <f>IF(AQ580="2",BH580,0)</f>
        <v>0</v>
      </c>
      <c r="AG580" s="33">
        <f>IF(AQ580="2",BI580,0)</f>
        <v>0</v>
      </c>
      <c r="AH580" s="33">
        <f>IF(AQ580="0",BJ580,0)</f>
        <v>0</v>
      </c>
      <c r="AI580" s="58" t="s">
        <v>63</v>
      </c>
      <c r="AJ580" s="53">
        <f>IF(AN580=0,M580,0)</f>
        <v>0</v>
      </c>
      <c r="AK580" s="53">
        <f>IF(AN580=15,M580,0)</f>
        <v>0</v>
      </c>
      <c r="AL580" s="53">
        <f>IF(AN580=21,M580,0)</f>
        <v>0</v>
      </c>
      <c r="AN580" s="33">
        <v>21</v>
      </c>
      <c r="AO580" s="33">
        <f>L580*0</f>
        <v>0</v>
      </c>
      <c r="AP580" s="33">
        <f>L580*(1-0)</f>
        <v>0</v>
      </c>
      <c r="AQ580" s="59" t="s">
        <v>80</v>
      </c>
      <c r="AV580" s="33">
        <f>AW580+AX580</f>
        <v>0</v>
      </c>
      <c r="AW580" s="33">
        <f>K580*AO580</f>
        <v>0</v>
      </c>
      <c r="AX580" s="33">
        <f>K580*AP580</f>
        <v>0</v>
      </c>
      <c r="AY580" s="61" t="s">
        <v>993</v>
      </c>
      <c r="AZ580" s="61" t="s">
        <v>1030</v>
      </c>
      <c r="BA580" s="58" t="s">
        <v>1039</v>
      </c>
      <c r="BC580" s="33">
        <f>AW580+AX580</f>
        <v>0</v>
      </c>
      <c r="BD580" s="33">
        <f>L580/(100-BE580)*100</f>
        <v>0</v>
      </c>
      <c r="BE580" s="33">
        <v>0</v>
      </c>
      <c r="BF580" s="33">
        <f>580</f>
        <v>580</v>
      </c>
      <c r="BH580" s="53">
        <f>K580*AO580</f>
        <v>0</v>
      </c>
      <c r="BI580" s="53">
        <f>K580*AP580</f>
        <v>0</v>
      </c>
      <c r="BJ580" s="53">
        <f>K580*L580</f>
        <v>0</v>
      </c>
      <c r="BK580" s="53" t="s">
        <v>1046</v>
      </c>
      <c r="BL580" s="33">
        <v>16</v>
      </c>
    </row>
    <row r="581" spans="1:14" ht="12.75">
      <c r="A581" s="17"/>
      <c r="D581" s="143" t="s">
        <v>887</v>
      </c>
      <c r="E581" s="144"/>
      <c r="F581" s="144"/>
      <c r="G581" s="144"/>
      <c r="H581" s="144"/>
      <c r="I581" s="144"/>
      <c r="K581" s="75">
        <v>31</v>
      </c>
      <c r="M581" s="14"/>
      <c r="N581" s="17"/>
    </row>
    <row r="582" spans="1:64" ht="12.75">
      <c r="A582" s="38" t="s">
        <v>214</v>
      </c>
      <c r="B582" s="45" t="s">
        <v>63</v>
      </c>
      <c r="C582" s="45" t="s">
        <v>399</v>
      </c>
      <c r="D582" s="141" t="s">
        <v>888</v>
      </c>
      <c r="E582" s="142"/>
      <c r="F582" s="142"/>
      <c r="G582" s="142"/>
      <c r="H582" s="142"/>
      <c r="I582" s="142"/>
      <c r="J582" s="45" t="s">
        <v>973</v>
      </c>
      <c r="K582" s="74">
        <v>31</v>
      </c>
      <c r="L582" s="53">
        <v>0</v>
      </c>
      <c r="M582" s="65">
        <f>K582*L582</f>
        <v>0</v>
      </c>
      <c r="N582" s="17"/>
      <c r="Z582" s="33">
        <f>IF(AQ582="5",BJ582,0)</f>
        <v>0</v>
      </c>
      <c r="AB582" s="33">
        <f>IF(AQ582="1",BH582,0)</f>
        <v>0</v>
      </c>
      <c r="AC582" s="33">
        <f>IF(AQ582="1",BI582,0)</f>
        <v>0</v>
      </c>
      <c r="AD582" s="33">
        <f>IF(AQ582="7",BH582,0)</f>
        <v>0</v>
      </c>
      <c r="AE582" s="33">
        <f>IF(AQ582="7",BI582,0)</f>
        <v>0</v>
      </c>
      <c r="AF582" s="33">
        <f>IF(AQ582="2",BH582,0)</f>
        <v>0</v>
      </c>
      <c r="AG582" s="33">
        <f>IF(AQ582="2",BI582,0)</f>
        <v>0</v>
      </c>
      <c r="AH582" s="33">
        <f>IF(AQ582="0",BJ582,0)</f>
        <v>0</v>
      </c>
      <c r="AI582" s="58" t="s">
        <v>63</v>
      </c>
      <c r="AJ582" s="53">
        <f>IF(AN582=0,M582,0)</f>
        <v>0</v>
      </c>
      <c r="AK582" s="53">
        <f>IF(AN582=15,M582,0)</f>
        <v>0</v>
      </c>
      <c r="AL582" s="53">
        <f>IF(AN582=21,M582,0)</f>
        <v>0</v>
      </c>
      <c r="AN582" s="33">
        <v>21</v>
      </c>
      <c r="AO582" s="33">
        <f>L582*0</f>
        <v>0</v>
      </c>
      <c r="AP582" s="33">
        <f>L582*(1-0)</f>
        <v>0</v>
      </c>
      <c r="AQ582" s="59" t="s">
        <v>80</v>
      </c>
      <c r="AV582" s="33">
        <f>AW582+AX582</f>
        <v>0</v>
      </c>
      <c r="AW582" s="33">
        <f>K582*AO582</f>
        <v>0</v>
      </c>
      <c r="AX582" s="33">
        <f>K582*AP582</f>
        <v>0</v>
      </c>
      <c r="AY582" s="61" t="s">
        <v>993</v>
      </c>
      <c r="AZ582" s="61" t="s">
        <v>1030</v>
      </c>
      <c r="BA582" s="58" t="s">
        <v>1039</v>
      </c>
      <c r="BC582" s="33">
        <f>AW582+AX582</f>
        <v>0</v>
      </c>
      <c r="BD582" s="33">
        <f>L582/(100-BE582)*100</f>
        <v>0</v>
      </c>
      <c r="BE582" s="33">
        <v>0</v>
      </c>
      <c r="BF582" s="33">
        <f>582</f>
        <v>582</v>
      </c>
      <c r="BH582" s="53">
        <f>K582*AO582</f>
        <v>0</v>
      </c>
      <c r="BI582" s="53">
        <f>K582*AP582</f>
        <v>0</v>
      </c>
      <c r="BJ582" s="53">
        <f>K582*L582</f>
        <v>0</v>
      </c>
      <c r="BK582" s="53" t="s">
        <v>1046</v>
      </c>
      <c r="BL582" s="33">
        <v>16</v>
      </c>
    </row>
    <row r="583" spans="1:14" ht="12.75">
      <c r="A583" s="17"/>
      <c r="D583" s="143" t="s">
        <v>889</v>
      </c>
      <c r="E583" s="144"/>
      <c r="F583" s="144"/>
      <c r="G583" s="144"/>
      <c r="H583" s="144"/>
      <c r="I583" s="144"/>
      <c r="K583" s="75">
        <v>31</v>
      </c>
      <c r="M583" s="14"/>
      <c r="N583" s="17"/>
    </row>
    <row r="584" spans="1:47" ht="12.75">
      <c r="A584" s="37"/>
      <c r="B584" s="44" t="s">
        <v>63</v>
      </c>
      <c r="C584" s="44" t="s">
        <v>96</v>
      </c>
      <c r="D584" s="139" t="s">
        <v>533</v>
      </c>
      <c r="E584" s="140"/>
      <c r="F584" s="140"/>
      <c r="G584" s="140"/>
      <c r="H584" s="140"/>
      <c r="I584" s="140"/>
      <c r="J584" s="50" t="s">
        <v>59</v>
      </c>
      <c r="K584" s="50" t="s">
        <v>59</v>
      </c>
      <c r="L584" s="50" t="s">
        <v>59</v>
      </c>
      <c r="M584" s="64">
        <f>SUM(M585:M585)</f>
        <v>0</v>
      </c>
      <c r="N584" s="17"/>
      <c r="AI584" s="58" t="s">
        <v>63</v>
      </c>
      <c r="AS584" s="68">
        <f>SUM(AJ585:AJ585)</f>
        <v>0</v>
      </c>
      <c r="AT584" s="68">
        <f>SUM(AK585:AK585)</f>
        <v>0</v>
      </c>
      <c r="AU584" s="68">
        <f>SUM(AL585:AL585)</f>
        <v>0</v>
      </c>
    </row>
    <row r="585" spans="1:64" ht="12.75">
      <c r="A585" s="38" t="s">
        <v>215</v>
      </c>
      <c r="B585" s="45" t="s">
        <v>63</v>
      </c>
      <c r="C585" s="45" t="s">
        <v>282</v>
      </c>
      <c r="D585" s="141" t="s">
        <v>536</v>
      </c>
      <c r="E585" s="142"/>
      <c r="F585" s="142"/>
      <c r="G585" s="142"/>
      <c r="H585" s="142"/>
      <c r="I585" s="142"/>
      <c r="J585" s="45" t="s">
        <v>973</v>
      </c>
      <c r="K585" s="74">
        <v>118.68</v>
      </c>
      <c r="L585" s="53">
        <v>0</v>
      </c>
      <c r="M585" s="65">
        <f>K585*L585</f>
        <v>0</v>
      </c>
      <c r="N585" s="17"/>
      <c r="Z585" s="33">
        <f>IF(AQ585="5",BJ585,0)</f>
        <v>0</v>
      </c>
      <c r="AB585" s="33">
        <f>IF(AQ585="1",BH585,0)</f>
        <v>0</v>
      </c>
      <c r="AC585" s="33">
        <f>IF(AQ585="1",BI585,0)</f>
        <v>0</v>
      </c>
      <c r="AD585" s="33">
        <f>IF(AQ585="7",BH585,0)</f>
        <v>0</v>
      </c>
      <c r="AE585" s="33">
        <f>IF(AQ585="7",BI585,0)</f>
        <v>0</v>
      </c>
      <c r="AF585" s="33">
        <f>IF(AQ585="2",BH585,0)</f>
        <v>0</v>
      </c>
      <c r="AG585" s="33">
        <f>IF(AQ585="2",BI585,0)</f>
        <v>0</v>
      </c>
      <c r="AH585" s="33">
        <f>IF(AQ585="0",BJ585,0)</f>
        <v>0</v>
      </c>
      <c r="AI585" s="58" t="s">
        <v>63</v>
      </c>
      <c r="AJ585" s="53">
        <f>IF(AN585=0,M585,0)</f>
        <v>0</v>
      </c>
      <c r="AK585" s="53">
        <f>IF(AN585=15,M585,0)</f>
        <v>0</v>
      </c>
      <c r="AL585" s="53">
        <f>IF(AN585=21,M585,0)</f>
        <v>0</v>
      </c>
      <c r="AN585" s="33">
        <v>21</v>
      </c>
      <c r="AO585" s="33">
        <f>L585*0</f>
        <v>0</v>
      </c>
      <c r="AP585" s="33">
        <f>L585*(1-0)</f>
        <v>0</v>
      </c>
      <c r="AQ585" s="59" t="s">
        <v>80</v>
      </c>
      <c r="AV585" s="33">
        <f>AW585+AX585</f>
        <v>0</v>
      </c>
      <c r="AW585" s="33">
        <f>K585*AO585</f>
        <v>0</v>
      </c>
      <c r="AX585" s="33">
        <f>K585*AP585</f>
        <v>0</v>
      </c>
      <c r="AY585" s="61" t="s">
        <v>994</v>
      </c>
      <c r="AZ585" s="61" t="s">
        <v>1030</v>
      </c>
      <c r="BA585" s="58" t="s">
        <v>1039</v>
      </c>
      <c r="BC585" s="33">
        <f>AW585+AX585</f>
        <v>0</v>
      </c>
      <c r="BD585" s="33">
        <f>L585/(100-BE585)*100</f>
        <v>0</v>
      </c>
      <c r="BE585" s="33">
        <v>0</v>
      </c>
      <c r="BF585" s="33">
        <f>585</f>
        <v>585</v>
      </c>
      <c r="BH585" s="53">
        <f>K585*AO585</f>
        <v>0</v>
      </c>
      <c r="BI585" s="53">
        <f>K585*AP585</f>
        <v>0</v>
      </c>
      <c r="BJ585" s="53">
        <f>K585*L585</f>
        <v>0</v>
      </c>
      <c r="BK585" s="53" t="s">
        <v>1046</v>
      </c>
      <c r="BL585" s="33">
        <v>17</v>
      </c>
    </row>
    <row r="586" spans="1:14" ht="12.75">
      <c r="A586" s="17"/>
      <c r="C586" s="48" t="s">
        <v>269</v>
      </c>
      <c r="D586" s="145" t="s">
        <v>890</v>
      </c>
      <c r="E586" s="146"/>
      <c r="F586" s="146"/>
      <c r="G586" s="146"/>
      <c r="H586" s="146"/>
      <c r="I586" s="146"/>
      <c r="J586" s="146"/>
      <c r="K586" s="146"/>
      <c r="L586" s="146"/>
      <c r="M586" s="147"/>
      <c r="N586" s="17"/>
    </row>
    <row r="587" spans="1:14" ht="12.75">
      <c r="A587" s="17"/>
      <c r="D587" s="143" t="s">
        <v>891</v>
      </c>
      <c r="E587" s="144"/>
      <c r="F587" s="144"/>
      <c r="G587" s="144"/>
      <c r="H587" s="144"/>
      <c r="I587" s="144"/>
      <c r="K587" s="75">
        <v>0</v>
      </c>
      <c r="M587" s="14"/>
      <c r="N587" s="17"/>
    </row>
    <row r="588" spans="1:14" ht="12.75">
      <c r="A588" s="17"/>
      <c r="D588" s="143" t="s">
        <v>892</v>
      </c>
      <c r="E588" s="144"/>
      <c r="F588" s="144"/>
      <c r="G588" s="144"/>
      <c r="H588" s="144"/>
      <c r="I588" s="144"/>
      <c r="K588" s="75">
        <v>55.519</v>
      </c>
      <c r="M588" s="14"/>
      <c r="N588" s="17"/>
    </row>
    <row r="589" spans="1:14" ht="12.75">
      <c r="A589" s="17"/>
      <c r="D589" s="143" t="s">
        <v>893</v>
      </c>
      <c r="E589" s="144"/>
      <c r="F589" s="144"/>
      <c r="G589" s="144"/>
      <c r="H589" s="144"/>
      <c r="I589" s="144"/>
      <c r="K589" s="75">
        <v>16.641</v>
      </c>
      <c r="M589" s="14"/>
      <c r="N589" s="17"/>
    </row>
    <row r="590" spans="1:14" ht="12.75">
      <c r="A590" s="17"/>
      <c r="D590" s="143" t="s">
        <v>894</v>
      </c>
      <c r="E590" s="144"/>
      <c r="F590" s="144"/>
      <c r="G590" s="144"/>
      <c r="H590" s="144"/>
      <c r="I590" s="144"/>
      <c r="K590" s="75">
        <v>39.68</v>
      </c>
      <c r="M590" s="14"/>
      <c r="N590" s="17"/>
    </row>
    <row r="591" spans="1:14" ht="12.75">
      <c r="A591" s="17"/>
      <c r="D591" s="143" t="s">
        <v>895</v>
      </c>
      <c r="E591" s="144"/>
      <c r="F591" s="144"/>
      <c r="G591" s="144"/>
      <c r="H591" s="144"/>
      <c r="I591" s="144"/>
      <c r="K591" s="75">
        <v>6.84</v>
      </c>
      <c r="M591" s="14"/>
      <c r="N591" s="17"/>
    </row>
    <row r="592" spans="1:47" ht="12.75">
      <c r="A592" s="37"/>
      <c r="B592" s="44" t="s">
        <v>63</v>
      </c>
      <c r="C592" s="44" t="s">
        <v>97</v>
      </c>
      <c r="D592" s="139" t="s">
        <v>593</v>
      </c>
      <c r="E592" s="140"/>
      <c r="F592" s="140"/>
      <c r="G592" s="140"/>
      <c r="H592" s="140"/>
      <c r="I592" s="140"/>
      <c r="J592" s="50" t="s">
        <v>59</v>
      </c>
      <c r="K592" s="50" t="s">
        <v>59</v>
      </c>
      <c r="L592" s="50" t="s">
        <v>59</v>
      </c>
      <c r="M592" s="64">
        <f>SUM(M593:M602)</f>
        <v>0</v>
      </c>
      <c r="N592" s="17"/>
      <c r="AI592" s="58" t="s">
        <v>63</v>
      </c>
      <c r="AS592" s="68">
        <f>SUM(AJ593:AJ602)</f>
        <v>0</v>
      </c>
      <c r="AT592" s="68">
        <f>SUM(AK593:AK602)</f>
        <v>0</v>
      </c>
      <c r="AU592" s="68">
        <f>SUM(AL593:AL602)</f>
        <v>0</v>
      </c>
    </row>
    <row r="593" spans="1:64" ht="12.75">
      <c r="A593" s="38" t="s">
        <v>216</v>
      </c>
      <c r="B593" s="45" t="s">
        <v>63</v>
      </c>
      <c r="C593" s="45" t="s">
        <v>400</v>
      </c>
      <c r="D593" s="141" t="s">
        <v>896</v>
      </c>
      <c r="E593" s="142"/>
      <c r="F593" s="142"/>
      <c r="G593" s="142"/>
      <c r="H593" s="142"/>
      <c r="I593" s="142"/>
      <c r="J593" s="45" t="s">
        <v>972</v>
      </c>
      <c r="K593" s="74">
        <v>179</v>
      </c>
      <c r="L593" s="53">
        <v>0</v>
      </c>
      <c r="M593" s="65">
        <f>K593*L593</f>
        <v>0</v>
      </c>
      <c r="N593" s="17"/>
      <c r="Z593" s="33">
        <f>IF(AQ593="5",BJ593,0)</f>
        <v>0</v>
      </c>
      <c r="AB593" s="33">
        <f>IF(AQ593="1",BH593,0)</f>
        <v>0</v>
      </c>
      <c r="AC593" s="33">
        <f>IF(AQ593="1",BI593,0)</f>
        <v>0</v>
      </c>
      <c r="AD593" s="33">
        <f>IF(AQ593="7",BH593,0)</f>
        <v>0</v>
      </c>
      <c r="AE593" s="33">
        <f>IF(AQ593="7",BI593,0)</f>
        <v>0</v>
      </c>
      <c r="AF593" s="33">
        <f>IF(AQ593="2",BH593,0)</f>
        <v>0</v>
      </c>
      <c r="AG593" s="33">
        <f>IF(AQ593="2",BI593,0)</f>
        <v>0</v>
      </c>
      <c r="AH593" s="33">
        <f>IF(AQ593="0",BJ593,0)</f>
        <v>0</v>
      </c>
      <c r="AI593" s="58" t="s">
        <v>63</v>
      </c>
      <c r="AJ593" s="53">
        <f>IF(AN593=0,M593,0)</f>
        <v>0</v>
      </c>
      <c r="AK593" s="53">
        <f>IF(AN593=15,M593,0)</f>
        <v>0</v>
      </c>
      <c r="AL593" s="53">
        <f>IF(AN593=21,M593,0)</f>
        <v>0</v>
      </c>
      <c r="AN593" s="33">
        <v>21</v>
      </c>
      <c r="AO593" s="33">
        <f>L593*0.187545787545788</f>
        <v>0</v>
      </c>
      <c r="AP593" s="33">
        <f>L593*(1-0.187545787545788)</f>
        <v>0</v>
      </c>
      <c r="AQ593" s="59" t="s">
        <v>80</v>
      </c>
      <c r="AV593" s="33">
        <f>AW593+AX593</f>
        <v>0</v>
      </c>
      <c r="AW593" s="33">
        <f>K593*AO593</f>
        <v>0</v>
      </c>
      <c r="AX593" s="33">
        <f>K593*AP593</f>
        <v>0</v>
      </c>
      <c r="AY593" s="61" t="s">
        <v>995</v>
      </c>
      <c r="AZ593" s="61" t="s">
        <v>1030</v>
      </c>
      <c r="BA593" s="58" t="s">
        <v>1039</v>
      </c>
      <c r="BC593" s="33">
        <f>AW593+AX593</f>
        <v>0</v>
      </c>
      <c r="BD593" s="33">
        <f>L593/(100-BE593)*100</f>
        <v>0</v>
      </c>
      <c r="BE593" s="33">
        <v>0</v>
      </c>
      <c r="BF593" s="33">
        <f>593</f>
        <v>593</v>
      </c>
      <c r="BH593" s="53">
        <f>K593*AO593</f>
        <v>0</v>
      </c>
      <c r="BI593" s="53">
        <f>K593*AP593</f>
        <v>0</v>
      </c>
      <c r="BJ593" s="53">
        <f>K593*L593</f>
        <v>0</v>
      </c>
      <c r="BK593" s="53" t="s">
        <v>1046</v>
      </c>
      <c r="BL593" s="33">
        <v>18</v>
      </c>
    </row>
    <row r="594" spans="1:14" ht="12.75">
      <c r="A594" s="17"/>
      <c r="D594" s="143" t="s">
        <v>897</v>
      </c>
      <c r="E594" s="144"/>
      <c r="F594" s="144"/>
      <c r="G594" s="144"/>
      <c r="H594" s="144"/>
      <c r="I594" s="144"/>
      <c r="K594" s="75">
        <v>179</v>
      </c>
      <c r="M594" s="14"/>
      <c r="N594" s="17"/>
    </row>
    <row r="595" spans="1:64" ht="12.75">
      <c r="A595" s="38" t="s">
        <v>217</v>
      </c>
      <c r="B595" s="45" t="s">
        <v>63</v>
      </c>
      <c r="C595" s="45" t="s">
        <v>401</v>
      </c>
      <c r="D595" s="141" t="s">
        <v>898</v>
      </c>
      <c r="E595" s="142"/>
      <c r="F595" s="142"/>
      <c r="G595" s="142"/>
      <c r="H595" s="142"/>
      <c r="I595" s="142"/>
      <c r="J595" s="45" t="s">
        <v>972</v>
      </c>
      <c r="K595" s="74">
        <v>179</v>
      </c>
      <c r="L595" s="53">
        <v>0</v>
      </c>
      <c r="M595" s="65">
        <f>K595*L595</f>
        <v>0</v>
      </c>
      <c r="N595" s="17"/>
      <c r="Z595" s="33">
        <f>IF(AQ595="5",BJ595,0)</f>
        <v>0</v>
      </c>
      <c r="AB595" s="33">
        <f>IF(AQ595="1",BH595,0)</f>
        <v>0</v>
      </c>
      <c r="AC595" s="33">
        <f>IF(AQ595="1",BI595,0)</f>
        <v>0</v>
      </c>
      <c r="AD595" s="33">
        <f>IF(AQ595="7",BH595,0)</f>
        <v>0</v>
      </c>
      <c r="AE595" s="33">
        <f>IF(AQ595="7",BI595,0)</f>
        <v>0</v>
      </c>
      <c r="AF595" s="33">
        <f>IF(AQ595="2",BH595,0)</f>
        <v>0</v>
      </c>
      <c r="AG595" s="33">
        <f>IF(AQ595="2",BI595,0)</f>
        <v>0</v>
      </c>
      <c r="AH595" s="33">
        <f>IF(AQ595="0",BJ595,0)</f>
        <v>0</v>
      </c>
      <c r="AI595" s="58" t="s">
        <v>63</v>
      </c>
      <c r="AJ595" s="53">
        <f>IF(AN595=0,M595,0)</f>
        <v>0</v>
      </c>
      <c r="AK595" s="53">
        <f>IF(AN595=15,M595,0)</f>
        <v>0</v>
      </c>
      <c r="AL595" s="53">
        <f>IF(AN595=21,M595,0)</f>
        <v>0</v>
      </c>
      <c r="AN595" s="33">
        <v>21</v>
      </c>
      <c r="AO595" s="33">
        <f>L595*0</f>
        <v>0</v>
      </c>
      <c r="AP595" s="33">
        <f>L595*(1-0)</f>
        <v>0</v>
      </c>
      <c r="AQ595" s="59" t="s">
        <v>80</v>
      </c>
      <c r="AV595" s="33">
        <f>AW595+AX595</f>
        <v>0</v>
      </c>
      <c r="AW595" s="33">
        <f>K595*AO595</f>
        <v>0</v>
      </c>
      <c r="AX595" s="33">
        <f>K595*AP595</f>
        <v>0</v>
      </c>
      <c r="AY595" s="61" t="s">
        <v>995</v>
      </c>
      <c r="AZ595" s="61" t="s">
        <v>1030</v>
      </c>
      <c r="BA595" s="58" t="s">
        <v>1039</v>
      </c>
      <c r="BC595" s="33">
        <f>AW595+AX595</f>
        <v>0</v>
      </c>
      <c r="BD595" s="33">
        <f>L595/(100-BE595)*100</f>
        <v>0</v>
      </c>
      <c r="BE595" s="33">
        <v>0</v>
      </c>
      <c r="BF595" s="33">
        <f>595</f>
        <v>595</v>
      </c>
      <c r="BH595" s="53">
        <f>K595*AO595</f>
        <v>0</v>
      </c>
      <c r="BI595" s="53">
        <f>K595*AP595</f>
        <v>0</v>
      </c>
      <c r="BJ595" s="53">
        <f>K595*L595</f>
        <v>0</v>
      </c>
      <c r="BK595" s="53" t="s">
        <v>1046</v>
      </c>
      <c r="BL595" s="33">
        <v>18</v>
      </c>
    </row>
    <row r="596" spans="1:14" ht="12.75">
      <c r="A596" s="17"/>
      <c r="D596" s="143" t="s">
        <v>899</v>
      </c>
      <c r="E596" s="144"/>
      <c r="F596" s="144"/>
      <c r="G596" s="144"/>
      <c r="H596" s="144"/>
      <c r="I596" s="144"/>
      <c r="K596" s="75">
        <v>179</v>
      </c>
      <c r="M596" s="14"/>
      <c r="N596" s="17"/>
    </row>
    <row r="597" spans="1:64" ht="12.75">
      <c r="A597" s="39" t="s">
        <v>218</v>
      </c>
      <c r="B597" s="46" t="s">
        <v>63</v>
      </c>
      <c r="C597" s="46" t="s">
        <v>402</v>
      </c>
      <c r="D597" s="148" t="s">
        <v>900</v>
      </c>
      <c r="E597" s="149"/>
      <c r="F597" s="149"/>
      <c r="G597" s="149"/>
      <c r="H597" s="149"/>
      <c r="I597" s="149"/>
      <c r="J597" s="46" t="s">
        <v>973</v>
      </c>
      <c r="K597" s="78">
        <v>31</v>
      </c>
      <c r="L597" s="54">
        <v>0</v>
      </c>
      <c r="M597" s="66">
        <f>K597*L597</f>
        <v>0</v>
      </c>
      <c r="N597" s="17"/>
      <c r="Z597" s="33">
        <f>IF(AQ597="5",BJ597,0)</f>
        <v>0</v>
      </c>
      <c r="AB597" s="33">
        <f>IF(AQ597="1",BH597,0)</f>
        <v>0</v>
      </c>
      <c r="AC597" s="33">
        <f>IF(AQ597="1",BI597,0)</f>
        <v>0</v>
      </c>
      <c r="AD597" s="33">
        <f>IF(AQ597="7",BH597,0)</f>
        <v>0</v>
      </c>
      <c r="AE597" s="33">
        <f>IF(AQ597="7",BI597,0)</f>
        <v>0</v>
      </c>
      <c r="AF597" s="33">
        <f>IF(AQ597="2",BH597,0)</f>
        <v>0</v>
      </c>
      <c r="AG597" s="33">
        <f>IF(AQ597="2",BI597,0)</f>
        <v>0</v>
      </c>
      <c r="AH597" s="33">
        <f>IF(AQ597="0",BJ597,0)</f>
        <v>0</v>
      </c>
      <c r="AI597" s="58" t="s">
        <v>63</v>
      </c>
      <c r="AJ597" s="54">
        <f>IF(AN597=0,M597,0)</f>
        <v>0</v>
      </c>
      <c r="AK597" s="54">
        <f>IF(AN597=15,M597,0)</f>
        <v>0</v>
      </c>
      <c r="AL597" s="54">
        <f>IF(AN597=21,M597,0)</f>
        <v>0</v>
      </c>
      <c r="AN597" s="33">
        <v>21</v>
      </c>
      <c r="AO597" s="33">
        <f>L597*1</f>
        <v>0</v>
      </c>
      <c r="AP597" s="33">
        <f>L597*(1-1)</f>
        <v>0</v>
      </c>
      <c r="AQ597" s="60" t="s">
        <v>80</v>
      </c>
      <c r="AV597" s="33">
        <f>AW597+AX597</f>
        <v>0</v>
      </c>
      <c r="AW597" s="33">
        <f>K597*AO597</f>
        <v>0</v>
      </c>
      <c r="AX597" s="33">
        <f>K597*AP597</f>
        <v>0</v>
      </c>
      <c r="AY597" s="61" t="s">
        <v>995</v>
      </c>
      <c r="AZ597" s="61" t="s">
        <v>1030</v>
      </c>
      <c r="BA597" s="58" t="s">
        <v>1039</v>
      </c>
      <c r="BC597" s="33">
        <f>AW597+AX597</f>
        <v>0</v>
      </c>
      <c r="BD597" s="33">
        <f>L597/(100-BE597)*100</f>
        <v>0</v>
      </c>
      <c r="BE597" s="33">
        <v>0</v>
      </c>
      <c r="BF597" s="33">
        <f>597</f>
        <v>597</v>
      </c>
      <c r="BH597" s="54">
        <f>K597*AO597</f>
        <v>0</v>
      </c>
      <c r="BI597" s="54">
        <f>K597*AP597</f>
        <v>0</v>
      </c>
      <c r="BJ597" s="54">
        <f>K597*L597</f>
        <v>0</v>
      </c>
      <c r="BK597" s="54" t="s">
        <v>1047</v>
      </c>
      <c r="BL597" s="33">
        <v>18</v>
      </c>
    </row>
    <row r="598" spans="1:14" ht="12.75">
      <c r="A598" s="17"/>
      <c r="D598" s="143" t="s">
        <v>901</v>
      </c>
      <c r="E598" s="144"/>
      <c r="F598" s="144"/>
      <c r="G598" s="144"/>
      <c r="H598" s="144"/>
      <c r="I598" s="144"/>
      <c r="K598" s="75">
        <v>35.8</v>
      </c>
      <c r="M598" s="14"/>
      <c r="N598" s="17"/>
    </row>
    <row r="599" spans="1:14" ht="12.75">
      <c r="A599" s="17"/>
      <c r="D599" s="143" t="s">
        <v>902</v>
      </c>
      <c r="E599" s="144"/>
      <c r="F599" s="144"/>
      <c r="G599" s="144"/>
      <c r="H599" s="144"/>
      <c r="I599" s="144"/>
      <c r="K599" s="75">
        <v>-4.8</v>
      </c>
      <c r="M599" s="14"/>
      <c r="N599" s="17"/>
    </row>
    <row r="600" spans="1:64" ht="12.75">
      <c r="A600" s="38" t="s">
        <v>219</v>
      </c>
      <c r="B600" s="45" t="s">
        <v>63</v>
      </c>
      <c r="C600" s="45" t="s">
        <v>403</v>
      </c>
      <c r="D600" s="141" t="s">
        <v>903</v>
      </c>
      <c r="E600" s="142"/>
      <c r="F600" s="142"/>
      <c r="G600" s="142"/>
      <c r="H600" s="142"/>
      <c r="I600" s="142"/>
      <c r="J600" s="45" t="s">
        <v>972</v>
      </c>
      <c r="K600" s="74">
        <v>2</v>
      </c>
      <c r="L600" s="53">
        <v>0</v>
      </c>
      <c r="M600" s="65">
        <f>K600*L600</f>
        <v>0</v>
      </c>
      <c r="N600" s="17"/>
      <c r="Z600" s="33">
        <f>IF(AQ600="5",BJ600,0)</f>
        <v>0</v>
      </c>
      <c r="AB600" s="33">
        <f>IF(AQ600="1",BH600,0)</f>
        <v>0</v>
      </c>
      <c r="AC600" s="33">
        <f>IF(AQ600="1",BI600,0)</f>
        <v>0</v>
      </c>
      <c r="AD600" s="33">
        <f>IF(AQ600="7",BH600,0)</f>
        <v>0</v>
      </c>
      <c r="AE600" s="33">
        <f>IF(AQ600="7",BI600,0)</f>
        <v>0</v>
      </c>
      <c r="AF600" s="33">
        <f>IF(AQ600="2",BH600,0)</f>
        <v>0</v>
      </c>
      <c r="AG600" s="33">
        <f>IF(AQ600="2",BI600,0)</f>
        <v>0</v>
      </c>
      <c r="AH600" s="33">
        <f>IF(AQ600="0",BJ600,0)</f>
        <v>0</v>
      </c>
      <c r="AI600" s="58" t="s">
        <v>63</v>
      </c>
      <c r="AJ600" s="53">
        <f>IF(AN600=0,M600,0)</f>
        <v>0</v>
      </c>
      <c r="AK600" s="53">
        <f>IF(AN600=15,M600,0)</f>
        <v>0</v>
      </c>
      <c r="AL600" s="53">
        <f>IF(AN600=21,M600,0)</f>
        <v>0</v>
      </c>
      <c r="AN600" s="33">
        <v>21</v>
      </c>
      <c r="AO600" s="33">
        <f>L600*0.199439252336449</f>
        <v>0</v>
      </c>
      <c r="AP600" s="33">
        <f>L600*(1-0.199439252336449)</f>
        <v>0</v>
      </c>
      <c r="AQ600" s="59" t="s">
        <v>80</v>
      </c>
      <c r="AV600" s="33">
        <f>AW600+AX600</f>
        <v>0</v>
      </c>
      <c r="AW600" s="33">
        <f>K600*AO600</f>
        <v>0</v>
      </c>
      <c r="AX600" s="33">
        <f>K600*AP600</f>
        <v>0</v>
      </c>
      <c r="AY600" s="61" t="s">
        <v>995</v>
      </c>
      <c r="AZ600" s="61" t="s">
        <v>1030</v>
      </c>
      <c r="BA600" s="58" t="s">
        <v>1039</v>
      </c>
      <c r="BC600" s="33">
        <f>AW600+AX600</f>
        <v>0</v>
      </c>
      <c r="BD600" s="33">
        <f>L600/(100-BE600)*100</f>
        <v>0</v>
      </c>
      <c r="BE600" s="33">
        <v>0</v>
      </c>
      <c r="BF600" s="33">
        <f>600</f>
        <v>600</v>
      </c>
      <c r="BH600" s="53">
        <f>K600*AO600</f>
        <v>0</v>
      </c>
      <c r="BI600" s="53">
        <f>K600*AP600</f>
        <v>0</v>
      </c>
      <c r="BJ600" s="53">
        <f>K600*L600</f>
        <v>0</v>
      </c>
      <c r="BK600" s="53" t="s">
        <v>1046</v>
      </c>
      <c r="BL600" s="33">
        <v>18</v>
      </c>
    </row>
    <row r="601" spans="1:14" ht="12.75">
      <c r="A601" s="17"/>
      <c r="D601" s="143" t="s">
        <v>783</v>
      </c>
      <c r="E601" s="144"/>
      <c r="F601" s="144"/>
      <c r="G601" s="144"/>
      <c r="H601" s="144"/>
      <c r="I601" s="144"/>
      <c r="K601" s="75">
        <v>2</v>
      </c>
      <c r="M601" s="14"/>
      <c r="N601" s="17"/>
    </row>
    <row r="602" spans="1:64" ht="12.75">
      <c r="A602" s="38" t="s">
        <v>220</v>
      </c>
      <c r="B602" s="45" t="s">
        <v>63</v>
      </c>
      <c r="C602" s="45" t="s">
        <v>404</v>
      </c>
      <c r="D602" s="141" t="s">
        <v>904</v>
      </c>
      <c r="E602" s="142"/>
      <c r="F602" s="142"/>
      <c r="G602" s="142"/>
      <c r="H602" s="142"/>
      <c r="I602" s="142"/>
      <c r="J602" s="45" t="s">
        <v>972</v>
      </c>
      <c r="K602" s="74">
        <v>2</v>
      </c>
      <c r="L602" s="53">
        <v>0</v>
      </c>
      <c r="M602" s="65">
        <f>K602*L602</f>
        <v>0</v>
      </c>
      <c r="N602" s="17"/>
      <c r="Z602" s="33">
        <f>IF(AQ602="5",BJ602,0)</f>
        <v>0</v>
      </c>
      <c r="AB602" s="33">
        <f>IF(AQ602="1",BH602,0)</f>
        <v>0</v>
      </c>
      <c r="AC602" s="33">
        <f>IF(AQ602="1",BI602,0)</f>
        <v>0</v>
      </c>
      <c r="AD602" s="33">
        <f>IF(AQ602="7",BH602,0)</f>
        <v>0</v>
      </c>
      <c r="AE602" s="33">
        <f>IF(AQ602="7",BI602,0)</f>
        <v>0</v>
      </c>
      <c r="AF602" s="33">
        <f>IF(AQ602="2",BH602,0)</f>
        <v>0</v>
      </c>
      <c r="AG602" s="33">
        <f>IF(AQ602="2",BI602,0)</f>
        <v>0</v>
      </c>
      <c r="AH602" s="33">
        <f>IF(AQ602="0",BJ602,0)</f>
        <v>0</v>
      </c>
      <c r="AI602" s="58" t="s">
        <v>63</v>
      </c>
      <c r="AJ602" s="53">
        <f>IF(AN602=0,M602,0)</f>
        <v>0</v>
      </c>
      <c r="AK602" s="53">
        <f>IF(AN602=15,M602,0)</f>
        <v>0</v>
      </c>
      <c r="AL602" s="53">
        <f>IF(AN602=21,M602,0)</f>
        <v>0</v>
      </c>
      <c r="AN602" s="33">
        <v>21</v>
      </c>
      <c r="AO602" s="33">
        <f>L602*0</f>
        <v>0</v>
      </c>
      <c r="AP602" s="33">
        <f>L602*(1-0)</f>
        <v>0</v>
      </c>
      <c r="AQ602" s="59" t="s">
        <v>80</v>
      </c>
      <c r="AV602" s="33">
        <f>AW602+AX602</f>
        <v>0</v>
      </c>
      <c r="AW602" s="33">
        <f>K602*AO602</f>
        <v>0</v>
      </c>
      <c r="AX602" s="33">
        <f>K602*AP602</f>
        <v>0</v>
      </c>
      <c r="AY602" s="61" t="s">
        <v>995</v>
      </c>
      <c r="AZ602" s="61" t="s">
        <v>1030</v>
      </c>
      <c r="BA602" s="58" t="s">
        <v>1039</v>
      </c>
      <c r="BC602" s="33">
        <f>AW602+AX602</f>
        <v>0</v>
      </c>
      <c r="BD602" s="33">
        <f>L602/(100-BE602)*100</f>
        <v>0</v>
      </c>
      <c r="BE602" s="33">
        <v>0</v>
      </c>
      <c r="BF602" s="33">
        <f>602</f>
        <v>602</v>
      </c>
      <c r="BH602" s="53">
        <f>K602*AO602</f>
        <v>0</v>
      </c>
      <c r="BI602" s="53">
        <f>K602*AP602</f>
        <v>0</v>
      </c>
      <c r="BJ602" s="53">
        <f>K602*L602</f>
        <v>0</v>
      </c>
      <c r="BK602" s="53" t="s">
        <v>1046</v>
      </c>
      <c r="BL602" s="33">
        <v>18</v>
      </c>
    </row>
    <row r="603" spans="1:14" ht="12.75">
      <c r="A603" s="17"/>
      <c r="D603" s="143" t="s">
        <v>783</v>
      </c>
      <c r="E603" s="144"/>
      <c r="F603" s="144"/>
      <c r="G603" s="144"/>
      <c r="H603" s="144"/>
      <c r="I603" s="144"/>
      <c r="K603" s="75">
        <v>2</v>
      </c>
      <c r="M603" s="14"/>
      <c r="N603" s="17"/>
    </row>
    <row r="604" spans="1:47" ht="12.75">
      <c r="A604" s="37"/>
      <c r="B604" s="44" t="s">
        <v>63</v>
      </c>
      <c r="C604" s="44" t="s">
        <v>170</v>
      </c>
      <c r="D604" s="139" t="s">
        <v>761</v>
      </c>
      <c r="E604" s="140"/>
      <c r="F604" s="140"/>
      <c r="G604" s="140"/>
      <c r="H604" s="140"/>
      <c r="I604" s="140"/>
      <c r="J604" s="50" t="s">
        <v>59</v>
      </c>
      <c r="K604" s="50" t="s">
        <v>59</v>
      </c>
      <c r="L604" s="50" t="s">
        <v>59</v>
      </c>
      <c r="M604" s="64">
        <f>SUM(M605:M605)</f>
        <v>0</v>
      </c>
      <c r="N604" s="17"/>
      <c r="AI604" s="58" t="s">
        <v>63</v>
      </c>
      <c r="AS604" s="68">
        <f>SUM(AJ605:AJ605)</f>
        <v>0</v>
      </c>
      <c r="AT604" s="68">
        <f>SUM(AK605:AK605)</f>
        <v>0</v>
      </c>
      <c r="AU604" s="68">
        <f>SUM(AL605:AL605)</f>
        <v>0</v>
      </c>
    </row>
    <row r="605" spans="1:64" ht="12.75">
      <c r="A605" s="38" t="s">
        <v>221</v>
      </c>
      <c r="B605" s="45" t="s">
        <v>63</v>
      </c>
      <c r="C605" s="45" t="s">
        <v>405</v>
      </c>
      <c r="D605" s="141" t="s">
        <v>905</v>
      </c>
      <c r="E605" s="142"/>
      <c r="F605" s="142"/>
      <c r="G605" s="142"/>
      <c r="H605" s="142"/>
      <c r="I605" s="142"/>
      <c r="J605" s="45" t="s">
        <v>968</v>
      </c>
      <c r="K605" s="74">
        <v>85</v>
      </c>
      <c r="L605" s="53">
        <v>0</v>
      </c>
      <c r="M605" s="65">
        <f>K605*L605</f>
        <v>0</v>
      </c>
      <c r="N605" s="17"/>
      <c r="Z605" s="33">
        <f>IF(AQ605="5",BJ605,0)</f>
        <v>0</v>
      </c>
      <c r="AB605" s="33">
        <f>IF(AQ605="1",BH605,0)</f>
        <v>0</v>
      </c>
      <c r="AC605" s="33">
        <f>IF(AQ605="1",BI605,0)</f>
        <v>0</v>
      </c>
      <c r="AD605" s="33">
        <f>IF(AQ605="7",BH605,0)</f>
        <v>0</v>
      </c>
      <c r="AE605" s="33">
        <f>IF(AQ605="7",BI605,0)</f>
        <v>0</v>
      </c>
      <c r="AF605" s="33">
        <f>IF(AQ605="2",BH605,0)</f>
        <v>0</v>
      </c>
      <c r="AG605" s="33">
        <f>IF(AQ605="2",BI605,0)</f>
        <v>0</v>
      </c>
      <c r="AH605" s="33">
        <f>IF(AQ605="0",BJ605,0)</f>
        <v>0</v>
      </c>
      <c r="AI605" s="58" t="s">
        <v>63</v>
      </c>
      <c r="AJ605" s="53">
        <f>IF(AN605=0,M605,0)</f>
        <v>0</v>
      </c>
      <c r="AK605" s="53">
        <f>IF(AN605=15,M605,0)</f>
        <v>0</v>
      </c>
      <c r="AL605" s="53">
        <f>IF(AN605=21,M605,0)</f>
        <v>0</v>
      </c>
      <c r="AN605" s="33">
        <v>21</v>
      </c>
      <c r="AO605" s="33">
        <f>L605*0.551764705882353</f>
        <v>0</v>
      </c>
      <c r="AP605" s="33">
        <f>L605*(1-0.551764705882353)</f>
        <v>0</v>
      </c>
      <c r="AQ605" s="59" t="s">
        <v>80</v>
      </c>
      <c r="AV605" s="33">
        <f>AW605+AX605</f>
        <v>0</v>
      </c>
      <c r="AW605" s="33">
        <f>K605*AO605</f>
        <v>0</v>
      </c>
      <c r="AX605" s="33">
        <f>K605*AP605</f>
        <v>0</v>
      </c>
      <c r="AY605" s="61" t="s">
        <v>1007</v>
      </c>
      <c r="AZ605" s="61" t="s">
        <v>1031</v>
      </c>
      <c r="BA605" s="58" t="s">
        <v>1039</v>
      </c>
      <c r="BC605" s="33">
        <f>AW605+AX605</f>
        <v>0</v>
      </c>
      <c r="BD605" s="33">
        <f>L605/(100-BE605)*100</f>
        <v>0</v>
      </c>
      <c r="BE605" s="33">
        <v>0</v>
      </c>
      <c r="BF605" s="33">
        <f>605</f>
        <v>605</v>
      </c>
      <c r="BH605" s="53">
        <f>K605*AO605</f>
        <v>0</v>
      </c>
      <c r="BI605" s="53">
        <f>K605*AP605</f>
        <v>0</v>
      </c>
      <c r="BJ605" s="53">
        <f>K605*L605</f>
        <v>0</v>
      </c>
      <c r="BK605" s="53" t="s">
        <v>1046</v>
      </c>
      <c r="BL605" s="33">
        <v>91</v>
      </c>
    </row>
    <row r="606" spans="1:14" ht="12.75">
      <c r="A606" s="17"/>
      <c r="D606" s="143" t="s">
        <v>906</v>
      </c>
      <c r="E606" s="144"/>
      <c r="F606" s="144"/>
      <c r="G606" s="144"/>
      <c r="H606" s="144"/>
      <c r="I606" s="144"/>
      <c r="K606" s="75">
        <v>85</v>
      </c>
      <c r="M606" s="14"/>
      <c r="N606" s="17"/>
    </row>
    <row r="607" spans="1:47" ht="12.75">
      <c r="A607" s="37"/>
      <c r="B607" s="44" t="s">
        <v>63</v>
      </c>
      <c r="C607" s="44" t="s">
        <v>172</v>
      </c>
      <c r="D607" s="139" t="s">
        <v>845</v>
      </c>
      <c r="E607" s="140"/>
      <c r="F607" s="140"/>
      <c r="G607" s="140"/>
      <c r="H607" s="140"/>
      <c r="I607" s="140"/>
      <c r="J607" s="50" t="s">
        <v>59</v>
      </c>
      <c r="K607" s="50" t="s">
        <v>59</v>
      </c>
      <c r="L607" s="50" t="s">
        <v>59</v>
      </c>
      <c r="M607" s="64">
        <f>SUM(M608:M608)</f>
        <v>0</v>
      </c>
      <c r="N607" s="17"/>
      <c r="AI607" s="58" t="s">
        <v>63</v>
      </c>
      <c r="AS607" s="68">
        <f>SUM(AJ608:AJ608)</f>
        <v>0</v>
      </c>
      <c r="AT607" s="68">
        <f>SUM(AK608:AK608)</f>
        <v>0</v>
      </c>
      <c r="AU607" s="68">
        <f>SUM(AL608:AL608)</f>
        <v>0</v>
      </c>
    </row>
    <row r="608" spans="1:64" ht="12.75">
      <c r="A608" s="38" t="s">
        <v>222</v>
      </c>
      <c r="B608" s="45" t="s">
        <v>63</v>
      </c>
      <c r="C608" s="45" t="s">
        <v>406</v>
      </c>
      <c r="D608" s="141" t="s">
        <v>907</v>
      </c>
      <c r="E608" s="142"/>
      <c r="F608" s="142"/>
      <c r="G608" s="142"/>
      <c r="H608" s="142"/>
      <c r="I608" s="142"/>
      <c r="J608" s="45" t="s">
        <v>972</v>
      </c>
      <c r="K608" s="74">
        <v>159.434</v>
      </c>
      <c r="L608" s="53">
        <v>0</v>
      </c>
      <c r="M608" s="65">
        <f>K608*L608</f>
        <v>0</v>
      </c>
      <c r="N608" s="17"/>
      <c r="Z608" s="33">
        <f>IF(AQ608="5",BJ608,0)</f>
        <v>0</v>
      </c>
      <c r="AB608" s="33">
        <f>IF(AQ608="1",BH608,0)</f>
        <v>0</v>
      </c>
      <c r="AC608" s="33">
        <f>IF(AQ608="1",BI608,0)</f>
        <v>0</v>
      </c>
      <c r="AD608" s="33">
        <f>IF(AQ608="7",BH608,0)</f>
        <v>0</v>
      </c>
      <c r="AE608" s="33">
        <f>IF(AQ608="7",BI608,0)</f>
        <v>0</v>
      </c>
      <c r="AF608" s="33">
        <f>IF(AQ608="2",BH608,0)</f>
        <v>0</v>
      </c>
      <c r="AG608" s="33">
        <f>IF(AQ608="2",BI608,0)</f>
        <v>0</v>
      </c>
      <c r="AH608" s="33">
        <f>IF(AQ608="0",BJ608,0)</f>
        <v>0</v>
      </c>
      <c r="AI608" s="58" t="s">
        <v>63</v>
      </c>
      <c r="AJ608" s="53">
        <f>IF(AN608=0,M608,0)</f>
        <v>0</v>
      </c>
      <c r="AK608" s="53">
        <f>IF(AN608=15,M608,0)</f>
        <v>0</v>
      </c>
      <c r="AL608" s="53">
        <f>IF(AN608=21,M608,0)</f>
        <v>0</v>
      </c>
      <c r="AN608" s="33">
        <v>21</v>
      </c>
      <c r="AO608" s="33">
        <f>L608*0.328378030413895</f>
        <v>0</v>
      </c>
      <c r="AP608" s="33">
        <f>L608*(1-0.328378030413895)</f>
        <v>0</v>
      </c>
      <c r="AQ608" s="59" t="s">
        <v>80</v>
      </c>
      <c r="AV608" s="33">
        <f>AW608+AX608</f>
        <v>0</v>
      </c>
      <c r="AW608" s="33">
        <f>K608*AO608</f>
        <v>0</v>
      </c>
      <c r="AX608" s="33">
        <f>K608*AP608</f>
        <v>0</v>
      </c>
      <c r="AY608" s="61" t="s">
        <v>1014</v>
      </c>
      <c r="AZ608" s="61" t="s">
        <v>1031</v>
      </c>
      <c r="BA608" s="58" t="s">
        <v>1039</v>
      </c>
      <c r="BC608" s="33">
        <f>AW608+AX608</f>
        <v>0</v>
      </c>
      <c r="BD608" s="33">
        <f>L608/(100-BE608)*100</f>
        <v>0</v>
      </c>
      <c r="BE608" s="33">
        <v>0</v>
      </c>
      <c r="BF608" s="33">
        <f>608</f>
        <v>608</v>
      </c>
      <c r="BH608" s="53">
        <f>K608*AO608</f>
        <v>0</v>
      </c>
      <c r="BI608" s="53">
        <f>K608*AP608</f>
        <v>0</v>
      </c>
      <c r="BJ608" s="53">
        <f>K608*L608</f>
        <v>0</v>
      </c>
      <c r="BK608" s="53" t="s">
        <v>1046</v>
      </c>
      <c r="BL608" s="33">
        <v>93</v>
      </c>
    </row>
    <row r="609" spans="1:14" ht="12.75">
      <c r="A609" s="17"/>
      <c r="C609" s="48" t="s">
        <v>269</v>
      </c>
      <c r="D609" s="145" t="s">
        <v>908</v>
      </c>
      <c r="E609" s="146"/>
      <c r="F609" s="146"/>
      <c r="G609" s="146"/>
      <c r="H609" s="146"/>
      <c r="I609" s="146"/>
      <c r="J609" s="146"/>
      <c r="K609" s="146"/>
      <c r="L609" s="146"/>
      <c r="M609" s="147"/>
      <c r="N609" s="17"/>
    </row>
    <row r="610" spans="1:14" ht="12.75">
      <c r="A610" s="17"/>
      <c r="D610" s="143" t="s">
        <v>909</v>
      </c>
      <c r="E610" s="144"/>
      <c r="F610" s="144"/>
      <c r="G610" s="144"/>
      <c r="H610" s="144"/>
      <c r="I610" s="144"/>
      <c r="K610" s="75">
        <v>63.878</v>
      </c>
      <c r="M610" s="14"/>
      <c r="N610" s="17"/>
    </row>
    <row r="611" spans="1:14" ht="12.75">
      <c r="A611" s="17"/>
      <c r="D611" s="143" t="s">
        <v>910</v>
      </c>
      <c r="E611" s="144"/>
      <c r="F611" s="144"/>
      <c r="G611" s="144"/>
      <c r="H611" s="144"/>
      <c r="I611" s="144"/>
      <c r="K611" s="75">
        <v>29.243</v>
      </c>
      <c r="M611" s="14"/>
      <c r="N611" s="17"/>
    </row>
    <row r="612" spans="1:14" ht="12.75">
      <c r="A612" s="17"/>
      <c r="D612" s="143" t="s">
        <v>911</v>
      </c>
      <c r="E612" s="144"/>
      <c r="F612" s="144"/>
      <c r="G612" s="144"/>
      <c r="H612" s="144"/>
      <c r="I612" s="144"/>
      <c r="K612" s="75">
        <v>52.49</v>
      </c>
      <c r="M612" s="14"/>
      <c r="N612" s="17"/>
    </row>
    <row r="613" spans="1:14" ht="12.75">
      <c r="A613" s="17"/>
      <c r="D613" s="143" t="s">
        <v>912</v>
      </c>
      <c r="E613" s="144"/>
      <c r="F613" s="144"/>
      <c r="G613" s="144"/>
      <c r="H613" s="144"/>
      <c r="I613" s="144"/>
      <c r="K613" s="75">
        <v>13.823</v>
      </c>
      <c r="M613" s="14"/>
      <c r="N613" s="17"/>
    </row>
    <row r="614" spans="1:47" ht="12.75">
      <c r="A614" s="37"/>
      <c r="B614" s="44" t="s">
        <v>63</v>
      </c>
      <c r="C614" s="44" t="s">
        <v>176</v>
      </c>
      <c r="D614" s="139" t="s">
        <v>767</v>
      </c>
      <c r="E614" s="140"/>
      <c r="F614" s="140"/>
      <c r="G614" s="140"/>
      <c r="H614" s="140"/>
      <c r="I614" s="140"/>
      <c r="J614" s="50" t="s">
        <v>59</v>
      </c>
      <c r="K614" s="50" t="s">
        <v>59</v>
      </c>
      <c r="L614" s="50" t="s">
        <v>59</v>
      </c>
      <c r="M614" s="64">
        <f>SUM(M615:M615)</f>
        <v>0</v>
      </c>
      <c r="N614" s="17"/>
      <c r="AI614" s="58" t="s">
        <v>63</v>
      </c>
      <c r="AS614" s="68">
        <f>SUM(AJ615:AJ615)</f>
        <v>0</v>
      </c>
      <c r="AT614" s="68">
        <f>SUM(AK615:AK615)</f>
        <v>0</v>
      </c>
      <c r="AU614" s="68">
        <f>SUM(AL615:AL615)</f>
        <v>0</v>
      </c>
    </row>
    <row r="615" spans="1:64" ht="12.75">
      <c r="A615" s="38" t="s">
        <v>223</v>
      </c>
      <c r="B615" s="45" t="s">
        <v>63</v>
      </c>
      <c r="C615" s="45" t="s">
        <v>407</v>
      </c>
      <c r="D615" s="141" t="s">
        <v>913</v>
      </c>
      <c r="E615" s="142"/>
      <c r="F615" s="142"/>
      <c r="G615" s="142"/>
      <c r="H615" s="142"/>
      <c r="I615" s="142"/>
      <c r="J615" s="45" t="s">
        <v>968</v>
      </c>
      <c r="K615" s="74">
        <v>5.5</v>
      </c>
      <c r="L615" s="53">
        <v>0</v>
      </c>
      <c r="M615" s="65">
        <f>K615*L615</f>
        <v>0</v>
      </c>
      <c r="N615" s="17"/>
      <c r="Z615" s="33">
        <f>IF(AQ615="5",BJ615,0)</f>
        <v>0</v>
      </c>
      <c r="AB615" s="33">
        <f>IF(AQ615="1",BH615,0)</f>
        <v>0</v>
      </c>
      <c r="AC615" s="33">
        <f>IF(AQ615="1",BI615,0)</f>
        <v>0</v>
      </c>
      <c r="AD615" s="33">
        <f>IF(AQ615="7",BH615,0)</f>
        <v>0</v>
      </c>
      <c r="AE615" s="33">
        <f>IF(AQ615="7",BI615,0)</f>
        <v>0</v>
      </c>
      <c r="AF615" s="33">
        <f>IF(AQ615="2",BH615,0)</f>
        <v>0</v>
      </c>
      <c r="AG615" s="33">
        <f>IF(AQ615="2",BI615,0)</f>
        <v>0</v>
      </c>
      <c r="AH615" s="33">
        <f>IF(AQ615="0",BJ615,0)</f>
        <v>0</v>
      </c>
      <c r="AI615" s="58" t="s">
        <v>63</v>
      </c>
      <c r="AJ615" s="53">
        <f>IF(AN615=0,M615,0)</f>
        <v>0</v>
      </c>
      <c r="AK615" s="53">
        <f>IF(AN615=15,M615,0)</f>
        <v>0</v>
      </c>
      <c r="AL615" s="53">
        <f>IF(AN615=21,M615,0)</f>
        <v>0</v>
      </c>
      <c r="AN615" s="33">
        <v>21</v>
      </c>
      <c r="AO615" s="33">
        <f>L615*0.357346835443038</f>
        <v>0</v>
      </c>
      <c r="AP615" s="33">
        <f>L615*(1-0.357346835443038)</f>
        <v>0</v>
      </c>
      <c r="AQ615" s="59" t="s">
        <v>80</v>
      </c>
      <c r="AV615" s="33">
        <f>AW615+AX615</f>
        <v>0</v>
      </c>
      <c r="AW615" s="33">
        <f>K615*AO615</f>
        <v>0</v>
      </c>
      <c r="AX615" s="33">
        <f>K615*AP615</f>
        <v>0</v>
      </c>
      <c r="AY615" s="61" t="s">
        <v>1008</v>
      </c>
      <c r="AZ615" s="61" t="s">
        <v>1031</v>
      </c>
      <c r="BA615" s="58" t="s">
        <v>1039</v>
      </c>
      <c r="BC615" s="33">
        <f>AW615+AX615</f>
        <v>0</v>
      </c>
      <c r="BD615" s="33">
        <f>L615/(100-BE615)*100</f>
        <v>0</v>
      </c>
      <c r="BE615" s="33">
        <v>0</v>
      </c>
      <c r="BF615" s="33">
        <f>615</f>
        <v>615</v>
      </c>
      <c r="BH615" s="53">
        <f>K615*AO615</f>
        <v>0</v>
      </c>
      <c r="BI615" s="53">
        <f>K615*AP615</f>
        <v>0</v>
      </c>
      <c r="BJ615" s="53">
        <f>K615*L615</f>
        <v>0</v>
      </c>
      <c r="BK615" s="53" t="s">
        <v>1046</v>
      </c>
      <c r="BL615" s="33">
        <v>97</v>
      </c>
    </row>
    <row r="616" spans="1:14" ht="12.75">
      <c r="A616" s="17"/>
      <c r="D616" s="143" t="s">
        <v>914</v>
      </c>
      <c r="E616" s="144"/>
      <c r="F616" s="144"/>
      <c r="G616" s="144"/>
      <c r="H616" s="144"/>
      <c r="I616" s="144"/>
      <c r="K616" s="75">
        <v>5.5</v>
      </c>
      <c r="M616" s="14"/>
      <c r="N616" s="17"/>
    </row>
    <row r="617" spans="1:47" ht="12.75">
      <c r="A617" s="37"/>
      <c r="B617" s="44" t="s">
        <v>63</v>
      </c>
      <c r="C617" s="44" t="s">
        <v>364</v>
      </c>
      <c r="D617" s="139" t="s">
        <v>789</v>
      </c>
      <c r="E617" s="140"/>
      <c r="F617" s="140"/>
      <c r="G617" s="140"/>
      <c r="H617" s="140"/>
      <c r="I617" s="140"/>
      <c r="J617" s="50" t="s">
        <v>59</v>
      </c>
      <c r="K617" s="50" t="s">
        <v>59</v>
      </c>
      <c r="L617" s="50" t="s">
        <v>59</v>
      </c>
      <c r="M617" s="64">
        <f>SUM(M618:M641)</f>
        <v>0</v>
      </c>
      <c r="N617" s="17"/>
      <c r="AI617" s="58" t="s">
        <v>63</v>
      </c>
      <c r="AS617" s="68">
        <f>SUM(AJ618:AJ641)</f>
        <v>0</v>
      </c>
      <c r="AT617" s="68">
        <f>SUM(AK618:AK641)</f>
        <v>0</v>
      </c>
      <c r="AU617" s="68">
        <f>SUM(AL618:AL641)</f>
        <v>0</v>
      </c>
    </row>
    <row r="618" spans="1:64" ht="12.75">
      <c r="A618" s="38" t="s">
        <v>224</v>
      </c>
      <c r="B618" s="45" t="s">
        <v>63</v>
      </c>
      <c r="C618" s="45" t="s">
        <v>365</v>
      </c>
      <c r="D618" s="141" t="s">
        <v>790</v>
      </c>
      <c r="E618" s="142"/>
      <c r="F618" s="142"/>
      <c r="G618" s="142"/>
      <c r="H618" s="142"/>
      <c r="I618" s="142"/>
      <c r="J618" s="45" t="s">
        <v>974</v>
      </c>
      <c r="K618" s="74">
        <v>464.537</v>
      </c>
      <c r="L618" s="53">
        <v>0</v>
      </c>
      <c r="M618" s="65">
        <f>K618*L618</f>
        <v>0</v>
      </c>
      <c r="N618" s="17"/>
      <c r="Z618" s="33">
        <f>IF(AQ618="5",BJ618,0)</f>
        <v>0</v>
      </c>
      <c r="AB618" s="33">
        <f>IF(AQ618="1",BH618,0)</f>
        <v>0</v>
      </c>
      <c r="AC618" s="33">
        <f>IF(AQ618="1",BI618,0)</f>
        <v>0</v>
      </c>
      <c r="AD618" s="33">
        <f>IF(AQ618="7",BH618,0)</f>
        <v>0</v>
      </c>
      <c r="AE618" s="33">
        <f>IF(AQ618="7",BI618,0)</f>
        <v>0</v>
      </c>
      <c r="AF618" s="33">
        <f>IF(AQ618="2",BH618,0)</f>
        <v>0</v>
      </c>
      <c r="AG618" s="33">
        <f>IF(AQ618="2",BI618,0)</f>
        <v>0</v>
      </c>
      <c r="AH618" s="33">
        <f>IF(AQ618="0",BJ618,0)</f>
        <v>0</v>
      </c>
      <c r="AI618" s="58" t="s">
        <v>63</v>
      </c>
      <c r="AJ618" s="53">
        <f>IF(AN618=0,M618,0)</f>
        <v>0</v>
      </c>
      <c r="AK618" s="53">
        <f>IF(AN618=15,M618,0)</f>
        <v>0</v>
      </c>
      <c r="AL618" s="53">
        <f>IF(AN618=21,M618,0)</f>
        <v>0</v>
      </c>
      <c r="AN618" s="33">
        <v>21</v>
      </c>
      <c r="AO618" s="33">
        <f>L618*0.0100452498798655</f>
        <v>0</v>
      </c>
      <c r="AP618" s="33">
        <f>L618*(1-0.0100452498798655)</f>
        <v>0</v>
      </c>
      <c r="AQ618" s="59" t="s">
        <v>84</v>
      </c>
      <c r="AV618" s="33">
        <f>AW618+AX618</f>
        <v>0</v>
      </c>
      <c r="AW618" s="33">
        <f>K618*AO618</f>
        <v>0</v>
      </c>
      <c r="AX618" s="33">
        <f>K618*AP618</f>
        <v>0</v>
      </c>
      <c r="AY618" s="61" t="s">
        <v>1011</v>
      </c>
      <c r="AZ618" s="61" t="s">
        <v>1031</v>
      </c>
      <c r="BA618" s="58" t="s">
        <v>1039</v>
      </c>
      <c r="BC618" s="33">
        <f>AW618+AX618</f>
        <v>0</v>
      </c>
      <c r="BD618" s="33">
        <f>L618/(100-BE618)*100</f>
        <v>0</v>
      </c>
      <c r="BE618" s="33">
        <v>0</v>
      </c>
      <c r="BF618" s="33">
        <f>618</f>
        <v>618</v>
      </c>
      <c r="BH618" s="53">
        <f>K618*AO618</f>
        <v>0</v>
      </c>
      <c r="BI618" s="53">
        <f>K618*AP618</f>
        <v>0</v>
      </c>
      <c r="BJ618" s="53">
        <f>K618*L618</f>
        <v>0</v>
      </c>
      <c r="BK618" s="53" t="s">
        <v>1046</v>
      </c>
      <c r="BL618" s="33" t="s">
        <v>364</v>
      </c>
    </row>
    <row r="619" spans="1:14" ht="12.75">
      <c r="A619" s="17"/>
      <c r="D619" s="143" t="s">
        <v>915</v>
      </c>
      <c r="E619" s="144"/>
      <c r="F619" s="144"/>
      <c r="G619" s="144"/>
      <c r="H619" s="144"/>
      <c r="I619" s="144"/>
      <c r="K619" s="75">
        <v>464.537</v>
      </c>
      <c r="M619" s="14"/>
      <c r="N619" s="17"/>
    </row>
    <row r="620" spans="1:64" ht="12.75">
      <c r="A620" s="38" t="s">
        <v>225</v>
      </c>
      <c r="B620" s="45" t="s">
        <v>63</v>
      </c>
      <c r="C620" s="45" t="s">
        <v>366</v>
      </c>
      <c r="D620" s="141" t="s">
        <v>792</v>
      </c>
      <c r="E620" s="142"/>
      <c r="F620" s="142"/>
      <c r="G620" s="142"/>
      <c r="H620" s="142"/>
      <c r="I620" s="142"/>
      <c r="J620" s="45" t="s">
        <v>974</v>
      </c>
      <c r="K620" s="74">
        <v>5838.856</v>
      </c>
      <c r="L620" s="53">
        <v>0</v>
      </c>
      <c r="M620" s="65">
        <f>K620*L620</f>
        <v>0</v>
      </c>
      <c r="N620" s="17"/>
      <c r="Z620" s="33">
        <f>IF(AQ620="5",BJ620,0)</f>
        <v>0</v>
      </c>
      <c r="AB620" s="33">
        <f>IF(AQ620="1",BH620,0)</f>
        <v>0</v>
      </c>
      <c r="AC620" s="33">
        <f>IF(AQ620="1",BI620,0)</f>
        <v>0</v>
      </c>
      <c r="AD620" s="33">
        <f>IF(AQ620="7",BH620,0)</f>
        <v>0</v>
      </c>
      <c r="AE620" s="33">
        <f>IF(AQ620="7",BI620,0)</f>
        <v>0</v>
      </c>
      <c r="AF620" s="33">
        <f>IF(AQ620="2",BH620,0)</f>
        <v>0</v>
      </c>
      <c r="AG620" s="33">
        <f>IF(AQ620="2",BI620,0)</f>
        <v>0</v>
      </c>
      <c r="AH620" s="33">
        <f>IF(AQ620="0",BJ620,0)</f>
        <v>0</v>
      </c>
      <c r="AI620" s="58" t="s">
        <v>63</v>
      </c>
      <c r="AJ620" s="53">
        <f>IF(AN620=0,M620,0)</f>
        <v>0</v>
      </c>
      <c r="AK620" s="53">
        <f>IF(AN620=15,M620,0)</f>
        <v>0</v>
      </c>
      <c r="AL620" s="53">
        <f>IF(AN620=21,M620,0)</f>
        <v>0</v>
      </c>
      <c r="AN620" s="33">
        <v>21</v>
      </c>
      <c r="AO620" s="33">
        <f>L620*0</f>
        <v>0</v>
      </c>
      <c r="AP620" s="33">
        <f>L620*(1-0)</f>
        <v>0</v>
      </c>
      <c r="AQ620" s="59" t="s">
        <v>84</v>
      </c>
      <c r="AV620" s="33">
        <f>AW620+AX620</f>
        <v>0</v>
      </c>
      <c r="AW620" s="33">
        <f>K620*AO620</f>
        <v>0</v>
      </c>
      <c r="AX620" s="33">
        <f>K620*AP620</f>
        <v>0</v>
      </c>
      <c r="AY620" s="61" t="s">
        <v>1011</v>
      </c>
      <c r="AZ620" s="61" t="s">
        <v>1031</v>
      </c>
      <c r="BA620" s="58" t="s">
        <v>1039</v>
      </c>
      <c r="BC620" s="33">
        <f>AW620+AX620</f>
        <v>0</v>
      </c>
      <c r="BD620" s="33">
        <f>L620/(100-BE620)*100</f>
        <v>0</v>
      </c>
      <c r="BE620" s="33">
        <v>0</v>
      </c>
      <c r="BF620" s="33">
        <f>620</f>
        <v>620</v>
      </c>
      <c r="BH620" s="53">
        <f>K620*AO620</f>
        <v>0</v>
      </c>
      <c r="BI620" s="53">
        <f>K620*AP620</f>
        <v>0</v>
      </c>
      <c r="BJ620" s="53">
        <f>K620*L620</f>
        <v>0</v>
      </c>
      <c r="BK620" s="53" t="s">
        <v>1046</v>
      </c>
      <c r="BL620" s="33" t="s">
        <v>364</v>
      </c>
    </row>
    <row r="621" spans="1:14" ht="12.75">
      <c r="A621" s="17"/>
      <c r="D621" s="143" t="s">
        <v>916</v>
      </c>
      <c r="E621" s="144"/>
      <c r="F621" s="144"/>
      <c r="G621" s="144"/>
      <c r="H621" s="144"/>
      <c r="I621" s="144"/>
      <c r="K621" s="75">
        <v>2772.936</v>
      </c>
      <c r="M621" s="14"/>
      <c r="N621" s="17"/>
    </row>
    <row r="622" spans="1:14" ht="12.75">
      <c r="A622" s="17"/>
      <c r="D622" s="143" t="s">
        <v>917</v>
      </c>
      <c r="E622" s="144"/>
      <c r="F622" s="144"/>
      <c r="G622" s="144"/>
      <c r="H622" s="144"/>
      <c r="I622" s="144"/>
      <c r="K622" s="75">
        <v>3065.92</v>
      </c>
      <c r="M622" s="14"/>
      <c r="N622" s="17"/>
    </row>
    <row r="623" spans="1:64" ht="12.75">
      <c r="A623" s="38" t="s">
        <v>226</v>
      </c>
      <c r="B623" s="45" t="s">
        <v>63</v>
      </c>
      <c r="C623" s="45" t="s">
        <v>367</v>
      </c>
      <c r="D623" s="141" t="s">
        <v>794</v>
      </c>
      <c r="E623" s="142"/>
      <c r="F623" s="142"/>
      <c r="G623" s="142"/>
      <c r="H623" s="142"/>
      <c r="I623" s="142"/>
      <c r="J623" s="45" t="s">
        <v>974</v>
      </c>
      <c r="K623" s="74">
        <v>464.537</v>
      </c>
      <c r="L623" s="53">
        <v>0</v>
      </c>
      <c r="M623" s="65">
        <f>K623*L623</f>
        <v>0</v>
      </c>
      <c r="N623" s="17"/>
      <c r="Z623" s="33">
        <f>IF(AQ623="5",BJ623,0)</f>
        <v>0</v>
      </c>
      <c r="AB623" s="33">
        <f>IF(AQ623="1",BH623,0)</f>
        <v>0</v>
      </c>
      <c r="AC623" s="33">
        <f>IF(AQ623="1",BI623,0)</f>
        <v>0</v>
      </c>
      <c r="AD623" s="33">
        <f>IF(AQ623="7",BH623,0)</f>
        <v>0</v>
      </c>
      <c r="AE623" s="33">
        <f>IF(AQ623="7",BI623,0)</f>
        <v>0</v>
      </c>
      <c r="AF623" s="33">
        <f>IF(AQ623="2",BH623,0)</f>
        <v>0</v>
      </c>
      <c r="AG623" s="33">
        <f>IF(AQ623="2",BI623,0)</f>
        <v>0</v>
      </c>
      <c r="AH623" s="33">
        <f>IF(AQ623="0",BJ623,0)</f>
        <v>0</v>
      </c>
      <c r="AI623" s="58" t="s">
        <v>63</v>
      </c>
      <c r="AJ623" s="53">
        <f>IF(AN623=0,M623,0)</f>
        <v>0</v>
      </c>
      <c r="AK623" s="53">
        <f>IF(AN623=15,M623,0)</f>
        <v>0</v>
      </c>
      <c r="AL623" s="53">
        <f>IF(AN623=21,M623,0)</f>
        <v>0</v>
      </c>
      <c r="AN623" s="33">
        <v>21</v>
      </c>
      <c r="AO623" s="33">
        <f>L623*0</f>
        <v>0</v>
      </c>
      <c r="AP623" s="33">
        <f>L623*(1-0)</f>
        <v>0</v>
      </c>
      <c r="AQ623" s="59" t="s">
        <v>84</v>
      </c>
      <c r="AV623" s="33">
        <f>AW623+AX623</f>
        <v>0</v>
      </c>
      <c r="AW623" s="33">
        <f>K623*AO623</f>
        <v>0</v>
      </c>
      <c r="AX623" s="33">
        <f>K623*AP623</f>
        <v>0</v>
      </c>
      <c r="AY623" s="61" t="s">
        <v>1011</v>
      </c>
      <c r="AZ623" s="61" t="s">
        <v>1031</v>
      </c>
      <c r="BA623" s="58" t="s">
        <v>1039</v>
      </c>
      <c r="BC623" s="33">
        <f>AW623+AX623</f>
        <v>0</v>
      </c>
      <c r="BD623" s="33">
        <f>L623/(100-BE623)*100</f>
        <v>0</v>
      </c>
      <c r="BE623" s="33">
        <v>0</v>
      </c>
      <c r="BF623" s="33">
        <f>623</f>
        <v>623</v>
      </c>
      <c r="BH623" s="53">
        <f>K623*AO623</f>
        <v>0</v>
      </c>
      <c r="BI623" s="53">
        <f>K623*AP623</f>
        <v>0</v>
      </c>
      <c r="BJ623" s="53">
        <f>K623*L623</f>
        <v>0</v>
      </c>
      <c r="BK623" s="53" t="s">
        <v>1046</v>
      </c>
      <c r="BL623" s="33" t="s">
        <v>364</v>
      </c>
    </row>
    <row r="624" spans="1:14" ht="12.75">
      <c r="A624" s="17"/>
      <c r="D624" s="143" t="s">
        <v>918</v>
      </c>
      <c r="E624" s="144"/>
      <c r="F624" s="144"/>
      <c r="G624" s="144"/>
      <c r="H624" s="144"/>
      <c r="I624" s="144"/>
      <c r="K624" s="75">
        <v>234.7</v>
      </c>
      <c r="M624" s="14"/>
      <c r="N624" s="17"/>
    </row>
    <row r="625" spans="1:14" ht="12.75">
      <c r="A625" s="17"/>
      <c r="D625" s="143" t="s">
        <v>919</v>
      </c>
      <c r="E625" s="144"/>
      <c r="F625" s="144"/>
      <c r="G625" s="144"/>
      <c r="H625" s="144"/>
      <c r="I625" s="144"/>
      <c r="K625" s="75">
        <v>47.806</v>
      </c>
      <c r="M625" s="14"/>
      <c r="N625" s="17"/>
    </row>
    <row r="626" spans="1:14" ht="12.75">
      <c r="A626" s="17"/>
      <c r="D626" s="143" t="s">
        <v>920</v>
      </c>
      <c r="E626" s="144"/>
      <c r="F626" s="144"/>
      <c r="G626" s="144"/>
      <c r="H626" s="144"/>
      <c r="I626" s="144"/>
      <c r="K626" s="75">
        <v>62.611</v>
      </c>
      <c r="M626" s="14"/>
      <c r="N626" s="17"/>
    </row>
    <row r="627" spans="1:14" ht="12.75">
      <c r="A627" s="17"/>
      <c r="D627" s="143" t="s">
        <v>921</v>
      </c>
      <c r="E627" s="144"/>
      <c r="F627" s="144"/>
      <c r="G627" s="144"/>
      <c r="H627" s="144"/>
      <c r="I627" s="144"/>
      <c r="K627" s="75">
        <v>117.92</v>
      </c>
      <c r="M627" s="14"/>
      <c r="N627" s="17"/>
    </row>
    <row r="628" spans="1:14" ht="12.75">
      <c r="A628" s="17"/>
      <c r="D628" s="143" t="s">
        <v>922</v>
      </c>
      <c r="E628" s="144"/>
      <c r="F628" s="144"/>
      <c r="G628" s="144"/>
      <c r="H628" s="144"/>
      <c r="I628" s="144"/>
      <c r="K628" s="75">
        <v>1.5</v>
      </c>
      <c r="M628" s="14"/>
      <c r="N628" s="17"/>
    </row>
    <row r="629" spans="1:64" ht="12.75">
      <c r="A629" s="38" t="s">
        <v>227</v>
      </c>
      <c r="B629" s="45" t="s">
        <v>63</v>
      </c>
      <c r="C629" s="45" t="s">
        <v>368</v>
      </c>
      <c r="D629" s="141" t="s">
        <v>795</v>
      </c>
      <c r="E629" s="142"/>
      <c r="F629" s="142"/>
      <c r="G629" s="142"/>
      <c r="H629" s="142"/>
      <c r="I629" s="142"/>
      <c r="J629" s="45" t="s">
        <v>974</v>
      </c>
      <c r="K629" s="74">
        <v>464.537</v>
      </c>
      <c r="L629" s="53">
        <v>0</v>
      </c>
      <c r="M629" s="65">
        <f>K629*L629</f>
        <v>0</v>
      </c>
      <c r="N629" s="17"/>
      <c r="Z629" s="33">
        <f>IF(AQ629="5",BJ629,0)</f>
        <v>0</v>
      </c>
      <c r="AB629" s="33">
        <f>IF(AQ629="1",BH629,0)</f>
        <v>0</v>
      </c>
      <c r="AC629" s="33">
        <f>IF(AQ629="1",BI629,0)</f>
        <v>0</v>
      </c>
      <c r="AD629" s="33">
        <f>IF(AQ629="7",BH629,0)</f>
        <v>0</v>
      </c>
      <c r="AE629" s="33">
        <f>IF(AQ629="7",BI629,0)</f>
        <v>0</v>
      </c>
      <c r="AF629" s="33">
        <f>IF(AQ629="2",BH629,0)</f>
        <v>0</v>
      </c>
      <c r="AG629" s="33">
        <f>IF(AQ629="2",BI629,0)</f>
        <v>0</v>
      </c>
      <c r="AH629" s="33">
        <f>IF(AQ629="0",BJ629,0)</f>
        <v>0</v>
      </c>
      <c r="AI629" s="58" t="s">
        <v>63</v>
      </c>
      <c r="AJ629" s="53">
        <f>IF(AN629=0,M629,0)</f>
        <v>0</v>
      </c>
      <c r="AK629" s="53">
        <f>IF(AN629=15,M629,0)</f>
        <v>0</v>
      </c>
      <c r="AL629" s="53">
        <f>IF(AN629=21,M629,0)</f>
        <v>0</v>
      </c>
      <c r="AN629" s="33">
        <v>21</v>
      </c>
      <c r="AO629" s="33">
        <f>L629*0</f>
        <v>0</v>
      </c>
      <c r="AP629" s="33">
        <f>L629*(1-0)</f>
        <v>0</v>
      </c>
      <c r="AQ629" s="59" t="s">
        <v>84</v>
      </c>
      <c r="AV629" s="33">
        <f>AW629+AX629</f>
        <v>0</v>
      </c>
      <c r="AW629" s="33">
        <f>K629*AO629</f>
        <v>0</v>
      </c>
      <c r="AX629" s="33">
        <f>K629*AP629</f>
        <v>0</v>
      </c>
      <c r="AY629" s="61" t="s">
        <v>1011</v>
      </c>
      <c r="AZ629" s="61" t="s">
        <v>1031</v>
      </c>
      <c r="BA629" s="58" t="s">
        <v>1039</v>
      </c>
      <c r="BC629" s="33">
        <f>AW629+AX629</f>
        <v>0</v>
      </c>
      <c r="BD629" s="33">
        <f>L629/(100-BE629)*100</f>
        <v>0</v>
      </c>
      <c r="BE629" s="33">
        <v>0</v>
      </c>
      <c r="BF629" s="33">
        <f>629</f>
        <v>629</v>
      </c>
      <c r="BH629" s="53">
        <f>K629*AO629</f>
        <v>0</v>
      </c>
      <c r="BI629" s="53">
        <f>K629*AP629</f>
        <v>0</v>
      </c>
      <c r="BJ629" s="53">
        <f>K629*L629</f>
        <v>0</v>
      </c>
      <c r="BK629" s="53" t="s">
        <v>1046</v>
      </c>
      <c r="BL629" s="33" t="s">
        <v>364</v>
      </c>
    </row>
    <row r="630" spans="1:14" ht="12.75">
      <c r="A630" s="17"/>
      <c r="D630" s="143" t="s">
        <v>923</v>
      </c>
      <c r="E630" s="144"/>
      <c r="F630" s="144"/>
      <c r="G630" s="144"/>
      <c r="H630" s="144"/>
      <c r="I630" s="144"/>
      <c r="K630" s="75">
        <v>234.7</v>
      </c>
      <c r="M630" s="14"/>
      <c r="N630" s="17"/>
    </row>
    <row r="631" spans="1:14" ht="12.75">
      <c r="A631" s="17"/>
      <c r="D631" s="143" t="s">
        <v>919</v>
      </c>
      <c r="E631" s="144"/>
      <c r="F631" s="144"/>
      <c r="G631" s="144"/>
      <c r="H631" s="144"/>
      <c r="I631" s="144"/>
      <c r="K631" s="75">
        <v>47.806</v>
      </c>
      <c r="M631" s="14"/>
      <c r="N631" s="17"/>
    </row>
    <row r="632" spans="1:14" ht="12.75">
      <c r="A632" s="17"/>
      <c r="D632" s="143" t="s">
        <v>920</v>
      </c>
      <c r="E632" s="144"/>
      <c r="F632" s="144"/>
      <c r="G632" s="144"/>
      <c r="H632" s="144"/>
      <c r="I632" s="144"/>
      <c r="K632" s="75">
        <v>62.611</v>
      </c>
      <c r="M632" s="14"/>
      <c r="N632" s="17"/>
    </row>
    <row r="633" spans="1:14" ht="12.75">
      <c r="A633" s="17"/>
      <c r="D633" s="143" t="s">
        <v>921</v>
      </c>
      <c r="E633" s="144"/>
      <c r="F633" s="144"/>
      <c r="G633" s="144"/>
      <c r="H633" s="144"/>
      <c r="I633" s="144"/>
      <c r="K633" s="75">
        <v>117.92</v>
      </c>
      <c r="M633" s="14"/>
      <c r="N633" s="17"/>
    </row>
    <row r="634" spans="1:14" ht="12.75">
      <c r="A634" s="17"/>
      <c r="D634" s="143" t="s">
        <v>922</v>
      </c>
      <c r="E634" s="144"/>
      <c r="F634" s="144"/>
      <c r="G634" s="144"/>
      <c r="H634" s="144"/>
      <c r="I634" s="144"/>
      <c r="K634" s="75">
        <v>1.5</v>
      </c>
      <c r="M634" s="14"/>
      <c r="N634" s="17"/>
    </row>
    <row r="635" spans="1:64" ht="12.75">
      <c r="A635" s="38" t="s">
        <v>228</v>
      </c>
      <c r="B635" s="45" t="s">
        <v>63</v>
      </c>
      <c r="C635" s="45" t="s">
        <v>369</v>
      </c>
      <c r="D635" s="141" t="s">
        <v>796</v>
      </c>
      <c r="E635" s="142"/>
      <c r="F635" s="142"/>
      <c r="G635" s="142"/>
      <c r="H635" s="142"/>
      <c r="I635" s="142"/>
      <c r="J635" s="45" t="s">
        <v>974</v>
      </c>
      <c r="K635" s="74">
        <v>234.7</v>
      </c>
      <c r="L635" s="53">
        <v>0</v>
      </c>
      <c r="M635" s="65">
        <f>K635*L635</f>
        <v>0</v>
      </c>
      <c r="N635" s="17"/>
      <c r="Z635" s="33">
        <f>IF(AQ635="5",BJ635,0)</f>
        <v>0</v>
      </c>
      <c r="AB635" s="33">
        <f>IF(AQ635="1",BH635,0)</f>
        <v>0</v>
      </c>
      <c r="AC635" s="33">
        <f>IF(AQ635="1",BI635,0)</f>
        <v>0</v>
      </c>
      <c r="AD635" s="33">
        <f>IF(AQ635="7",BH635,0)</f>
        <v>0</v>
      </c>
      <c r="AE635" s="33">
        <f>IF(AQ635="7",BI635,0)</f>
        <v>0</v>
      </c>
      <c r="AF635" s="33">
        <f>IF(AQ635="2",BH635,0)</f>
        <v>0</v>
      </c>
      <c r="AG635" s="33">
        <f>IF(AQ635="2",BI635,0)</f>
        <v>0</v>
      </c>
      <c r="AH635" s="33">
        <f>IF(AQ635="0",BJ635,0)</f>
        <v>0</v>
      </c>
      <c r="AI635" s="58" t="s">
        <v>63</v>
      </c>
      <c r="AJ635" s="53">
        <f>IF(AN635=0,M635,0)</f>
        <v>0</v>
      </c>
      <c r="AK635" s="53">
        <f>IF(AN635=15,M635,0)</f>
        <v>0</v>
      </c>
      <c r="AL635" s="53">
        <f>IF(AN635=21,M635,0)</f>
        <v>0</v>
      </c>
      <c r="AN635" s="33">
        <v>21</v>
      </c>
      <c r="AO635" s="33">
        <f>L635*0</f>
        <v>0</v>
      </c>
      <c r="AP635" s="33">
        <f>L635*(1-0)</f>
        <v>0</v>
      </c>
      <c r="AQ635" s="59" t="s">
        <v>84</v>
      </c>
      <c r="AV635" s="33">
        <f>AW635+AX635</f>
        <v>0</v>
      </c>
      <c r="AW635" s="33">
        <f>K635*AO635</f>
        <v>0</v>
      </c>
      <c r="AX635" s="33">
        <f>K635*AP635</f>
        <v>0</v>
      </c>
      <c r="AY635" s="61" t="s">
        <v>1011</v>
      </c>
      <c r="AZ635" s="61" t="s">
        <v>1031</v>
      </c>
      <c r="BA635" s="58" t="s">
        <v>1039</v>
      </c>
      <c r="BC635" s="33">
        <f>AW635+AX635</f>
        <v>0</v>
      </c>
      <c r="BD635" s="33">
        <f>L635/(100-BE635)*100</f>
        <v>0</v>
      </c>
      <c r="BE635" s="33">
        <v>0</v>
      </c>
      <c r="BF635" s="33">
        <f>635</f>
        <v>635</v>
      </c>
      <c r="BH635" s="53">
        <f>K635*AO635</f>
        <v>0</v>
      </c>
      <c r="BI635" s="53">
        <f>K635*AP635</f>
        <v>0</v>
      </c>
      <c r="BJ635" s="53">
        <f>K635*L635</f>
        <v>0</v>
      </c>
      <c r="BK635" s="53" t="s">
        <v>1046</v>
      </c>
      <c r="BL635" s="33" t="s">
        <v>364</v>
      </c>
    </row>
    <row r="636" spans="1:14" ht="12.75">
      <c r="A636" s="17"/>
      <c r="D636" s="143" t="s">
        <v>924</v>
      </c>
      <c r="E636" s="144"/>
      <c r="F636" s="144"/>
      <c r="G636" s="144"/>
      <c r="H636" s="144"/>
      <c r="I636" s="144"/>
      <c r="K636" s="75">
        <v>471.9</v>
      </c>
      <c r="M636" s="14"/>
      <c r="N636" s="17"/>
    </row>
    <row r="637" spans="1:14" ht="12.75">
      <c r="A637" s="17"/>
      <c r="D637" s="143" t="s">
        <v>925</v>
      </c>
      <c r="E637" s="144"/>
      <c r="F637" s="144"/>
      <c r="G637" s="144"/>
      <c r="H637" s="144"/>
      <c r="I637" s="144"/>
      <c r="K637" s="75">
        <v>-237.2</v>
      </c>
      <c r="M637" s="14"/>
      <c r="N637" s="17"/>
    </row>
    <row r="638" spans="1:64" ht="12.75">
      <c r="A638" s="38" t="s">
        <v>229</v>
      </c>
      <c r="B638" s="45" t="s">
        <v>63</v>
      </c>
      <c r="C638" s="45" t="s">
        <v>370</v>
      </c>
      <c r="D638" s="141" t="s">
        <v>799</v>
      </c>
      <c r="E638" s="142"/>
      <c r="F638" s="142"/>
      <c r="G638" s="142"/>
      <c r="H638" s="142"/>
      <c r="I638" s="142"/>
      <c r="J638" s="45" t="s">
        <v>974</v>
      </c>
      <c r="K638" s="74">
        <v>47.806</v>
      </c>
      <c r="L638" s="53">
        <v>0</v>
      </c>
      <c r="M638" s="65">
        <f>K638*L638</f>
        <v>0</v>
      </c>
      <c r="N638" s="17"/>
      <c r="Z638" s="33">
        <f>IF(AQ638="5",BJ638,0)</f>
        <v>0</v>
      </c>
      <c r="AB638" s="33">
        <f>IF(AQ638="1",BH638,0)</f>
        <v>0</v>
      </c>
      <c r="AC638" s="33">
        <f>IF(AQ638="1",BI638,0)</f>
        <v>0</v>
      </c>
      <c r="AD638" s="33">
        <f>IF(AQ638="7",BH638,0)</f>
        <v>0</v>
      </c>
      <c r="AE638" s="33">
        <f>IF(AQ638="7",BI638,0)</f>
        <v>0</v>
      </c>
      <c r="AF638" s="33">
        <f>IF(AQ638="2",BH638,0)</f>
        <v>0</v>
      </c>
      <c r="AG638" s="33">
        <f>IF(AQ638="2",BI638,0)</f>
        <v>0</v>
      </c>
      <c r="AH638" s="33">
        <f>IF(AQ638="0",BJ638,0)</f>
        <v>0</v>
      </c>
      <c r="AI638" s="58" t="s">
        <v>63</v>
      </c>
      <c r="AJ638" s="53">
        <f>IF(AN638=0,M638,0)</f>
        <v>0</v>
      </c>
      <c r="AK638" s="53">
        <f>IF(AN638=15,M638,0)</f>
        <v>0</v>
      </c>
      <c r="AL638" s="53">
        <f>IF(AN638=21,M638,0)</f>
        <v>0</v>
      </c>
      <c r="AN638" s="33">
        <v>21</v>
      </c>
      <c r="AO638" s="33">
        <f>L638*0</f>
        <v>0</v>
      </c>
      <c r="AP638" s="33">
        <f>L638*(1-0)</f>
        <v>0</v>
      </c>
      <c r="AQ638" s="59" t="s">
        <v>84</v>
      </c>
      <c r="AV638" s="33">
        <f>AW638+AX638</f>
        <v>0</v>
      </c>
      <c r="AW638" s="33">
        <f>K638*AO638</f>
        <v>0</v>
      </c>
      <c r="AX638" s="33">
        <f>K638*AP638</f>
        <v>0</v>
      </c>
      <c r="AY638" s="61" t="s">
        <v>1011</v>
      </c>
      <c r="AZ638" s="61" t="s">
        <v>1031</v>
      </c>
      <c r="BA638" s="58" t="s">
        <v>1039</v>
      </c>
      <c r="BC638" s="33">
        <f>AW638+AX638</f>
        <v>0</v>
      </c>
      <c r="BD638" s="33">
        <f>L638/(100-BE638)*100</f>
        <v>0</v>
      </c>
      <c r="BE638" s="33">
        <v>0</v>
      </c>
      <c r="BF638" s="33">
        <f>638</f>
        <v>638</v>
      </c>
      <c r="BH638" s="53">
        <f>K638*AO638</f>
        <v>0</v>
      </c>
      <c r="BI638" s="53">
        <f>K638*AP638</f>
        <v>0</v>
      </c>
      <c r="BJ638" s="53">
        <f>K638*L638</f>
        <v>0</v>
      </c>
      <c r="BK638" s="53" t="s">
        <v>1046</v>
      </c>
      <c r="BL638" s="33" t="s">
        <v>364</v>
      </c>
    </row>
    <row r="639" spans="1:64" ht="12.75">
      <c r="A639" s="38" t="s">
        <v>230</v>
      </c>
      <c r="B639" s="45" t="s">
        <v>63</v>
      </c>
      <c r="C639" s="45" t="s">
        <v>408</v>
      </c>
      <c r="D639" s="141" t="s">
        <v>926</v>
      </c>
      <c r="E639" s="142"/>
      <c r="F639" s="142"/>
      <c r="G639" s="142"/>
      <c r="H639" s="142"/>
      <c r="I639" s="142"/>
      <c r="J639" s="45" t="s">
        <v>974</v>
      </c>
      <c r="K639" s="74">
        <v>62.611</v>
      </c>
      <c r="L639" s="53">
        <v>0</v>
      </c>
      <c r="M639" s="65">
        <f>K639*L639</f>
        <v>0</v>
      </c>
      <c r="N639" s="17"/>
      <c r="Z639" s="33">
        <f>IF(AQ639="5",BJ639,0)</f>
        <v>0</v>
      </c>
      <c r="AB639" s="33">
        <f>IF(AQ639="1",BH639,0)</f>
        <v>0</v>
      </c>
      <c r="AC639" s="33">
        <f>IF(AQ639="1",BI639,0)</f>
        <v>0</v>
      </c>
      <c r="AD639" s="33">
        <f>IF(AQ639="7",BH639,0)</f>
        <v>0</v>
      </c>
      <c r="AE639" s="33">
        <f>IF(AQ639="7",BI639,0)</f>
        <v>0</v>
      </c>
      <c r="AF639" s="33">
        <f>IF(AQ639="2",BH639,0)</f>
        <v>0</v>
      </c>
      <c r="AG639" s="33">
        <f>IF(AQ639="2",BI639,0)</f>
        <v>0</v>
      </c>
      <c r="AH639" s="33">
        <f>IF(AQ639="0",BJ639,0)</f>
        <v>0</v>
      </c>
      <c r="AI639" s="58" t="s">
        <v>63</v>
      </c>
      <c r="AJ639" s="53">
        <f>IF(AN639=0,M639,0)</f>
        <v>0</v>
      </c>
      <c r="AK639" s="53">
        <f>IF(AN639=15,M639,0)</f>
        <v>0</v>
      </c>
      <c r="AL639" s="53">
        <f>IF(AN639=21,M639,0)</f>
        <v>0</v>
      </c>
      <c r="AN639" s="33">
        <v>21</v>
      </c>
      <c r="AO639" s="33">
        <f>L639*0</f>
        <v>0</v>
      </c>
      <c r="AP639" s="33">
        <f>L639*(1-0)</f>
        <v>0</v>
      </c>
      <c r="AQ639" s="59" t="s">
        <v>84</v>
      </c>
      <c r="AV639" s="33">
        <f>AW639+AX639</f>
        <v>0</v>
      </c>
      <c r="AW639" s="33">
        <f>K639*AO639</f>
        <v>0</v>
      </c>
      <c r="AX639" s="33">
        <f>K639*AP639</f>
        <v>0</v>
      </c>
      <c r="AY639" s="61" t="s">
        <v>1011</v>
      </c>
      <c r="AZ639" s="61" t="s">
        <v>1031</v>
      </c>
      <c r="BA639" s="58" t="s">
        <v>1039</v>
      </c>
      <c r="BC639" s="33">
        <f>AW639+AX639</f>
        <v>0</v>
      </c>
      <c r="BD639" s="33">
        <f>L639/(100-BE639)*100</f>
        <v>0</v>
      </c>
      <c r="BE639" s="33">
        <v>0</v>
      </c>
      <c r="BF639" s="33">
        <f>639</f>
        <v>639</v>
      </c>
      <c r="BH639" s="53">
        <f>K639*AO639</f>
        <v>0</v>
      </c>
      <c r="BI639" s="53">
        <f>K639*AP639</f>
        <v>0</v>
      </c>
      <c r="BJ639" s="53">
        <f>K639*L639</f>
        <v>0</v>
      </c>
      <c r="BK639" s="53" t="s">
        <v>1046</v>
      </c>
      <c r="BL639" s="33" t="s">
        <v>364</v>
      </c>
    </row>
    <row r="640" spans="1:64" ht="12.75">
      <c r="A640" s="38" t="s">
        <v>231</v>
      </c>
      <c r="B640" s="45" t="s">
        <v>63</v>
      </c>
      <c r="C640" s="45" t="s">
        <v>409</v>
      </c>
      <c r="D640" s="141" t="s">
        <v>927</v>
      </c>
      <c r="E640" s="142"/>
      <c r="F640" s="142"/>
      <c r="G640" s="142"/>
      <c r="H640" s="142"/>
      <c r="I640" s="142"/>
      <c r="J640" s="45" t="s">
        <v>974</v>
      </c>
      <c r="K640" s="74">
        <v>117.92</v>
      </c>
      <c r="L640" s="53">
        <v>0</v>
      </c>
      <c r="M640" s="65">
        <f>K640*L640</f>
        <v>0</v>
      </c>
      <c r="N640" s="17"/>
      <c r="Z640" s="33">
        <f>IF(AQ640="5",BJ640,0)</f>
        <v>0</v>
      </c>
      <c r="AB640" s="33">
        <f>IF(AQ640="1",BH640,0)</f>
        <v>0</v>
      </c>
      <c r="AC640" s="33">
        <f>IF(AQ640="1",BI640,0)</f>
        <v>0</v>
      </c>
      <c r="AD640" s="33">
        <f>IF(AQ640="7",BH640,0)</f>
        <v>0</v>
      </c>
      <c r="AE640" s="33">
        <f>IF(AQ640="7",BI640,0)</f>
        <v>0</v>
      </c>
      <c r="AF640" s="33">
        <f>IF(AQ640="2",BH640,0)</f>
        <v>0</v>
      </c>
      <c r="AG640" s="33">
        <f>IF(AQ640="2",BI640,0)</f>
        <v>0</v>
      </c>
      <c r="AH640" s="33">
        <f>IF(AQ640="0",BJ640,0)</f>
        <v>0</v>
      </c>
      <c r="AI640" s="58" t="s">
        <v>63</v>
      </c>
      <c r="AJ640" s="53">
        <f>IF(AN640=0,M640,0)</f>
        <v>0</v>
      </c>
      <c r="AK640" s="53">
        <f>IF(AN640=15,M640,0)</f>
        <v>0</v>
      </c>
      <c r="AL640" s="53">
        <f>IF(AN640=21,M640,0)</f>
        <v>0</v>
      </c>
      <c r="AN640" s="33">
        <v>21</v>
      </c>
      <c r="AO640" s="33">
        <f>L640*0</f>
        <v>0</v>
      </c>
      <c r="AP640" s="33">
        <f>L640*(1-0)</f>
        <v>0</v>
      </c>
      <c r="AQ640" s="59" t="s">
        <v>84</v>
      </c>
      <c r="AV640" s="33">
        <f>AW640+AX640</f>
        <v>0</v>
      </c>
      <c r="AW640" s="33">
        <f>K640*AO640</f>
        <v>0</v>
      </c>
      <c r="AX640" s="33">
        <f>K640*AP640</f>
        <v>0</v>
      </c>
      <c r="AY640" s="61" t="s">
        <v>1011</v>
      </c>
      <c r="AZ640" s="61" t="s">
        <v>1031</v>
      </c>
      <c r="BA640" s="58" t="s">
        <v>1039</v>
      </c>
      <c r="BC640" s="33">
        <f>AW640+AX640</f>
        <v>0</v>
      </c>
      <c r="BD640" s="33">
        <f>L640/(100-BE640)*100</f>
        <v>0</v>
      </c>
      <c r="BE640" s="33">
        <v>0</v>
      </c>
      <c r="BF640" s="33">
        <f>640</f>
        <v>640</v>
      </c>
      <c r="BH640" s="53">
        <f>K640*AO640</f>
        <v>0</v>
      </c>
      <c r="BI640" s="53">
        <f>K640*AP640</f>
        <v>0</v>
      </c>
      <c r="BJ640" s="53">
        <f>K640*L640</f>
        <v>0</v>
      </c>
      <c r="BK640" s="53" t="s">
        <v>1046</v>
      </c>
      <c r="BL640" s="33" t="s">
        <v>364</v>
      </c>
    </row>
    <row r="641" spans="1:64" ht="12.75">
      <c r="A641" s="38" t="s">
        <v>232</v>
      </c>
      <c r="B641" s="45" t="s">
        <v>63</v>
      </c>
      <c r="C641" s="45" t="s">
        <v>410</v>
      </c>
      <c r="D641" s="141" t="s">
        <v>928</v>
      </c>
      <c r="E641" s="142"/>
      <c r="F641" s="142"/>
      <c r="G641" s="142"/>
      <c r="H641" s="142"/>
      <c r="I641" s="142"/>
      <c r="J641" s="45" t="s">
        <v>974</v>
      </c>
      <c r="K641" s="74">
        <v>1.5</v>
      </c>
      <c r="L641" s="53">
        <v>0</v>
      </c>
      <c r="M641" s="65">
        <f>K641*L641</f>
        <v>0</v>
      </c>
      <c r="N641" s="17"/>
      <c r="Z641" s="33">
        <f>IF(AQ641="5",BJ641,0)</f>
        <v>0</v>
      </c>
      <c r="AB641" s="33">
        <f>IF(AQ641="1",BH641,0)</f>
        <v>0</v>
      </c>
      <c r="AC641" s="33">
        <f>IF(AQ641="1",BI641,0)</f>
        <v>0</v>
      </c>
      <c r="AD641" s="33">
        <f>IF(AQ641="7",BH641,0)</f>
        <v>0</v>
      </c>
      <c r="AE641" s="33">
        <f>IF(AQ641="7",BI641,0)</f>
        <v>0</v>
      </c>
      <c r="AF641" s="33">
        <f>IF(AQ641="2",BH641,0)</f>
        <v>0</v>
      </c>
      <c r="AG641" s="33">
        <f>IF(AQ641="2",BI641,0)</f>
        <v>0</v>
      </c>
      <c r="AH641" s="33">
        <f>IF(AQ641="0",BJ641,0)</f>
        <v>0</v>
      </c>
      <c r="AI641" s="58" t="s">
        <v>63</v>
      </c>
      <c r="AJ641" s="53">
        <f>IF(AN641=0,M641,0)</f>
        <v>0</v>
      </c>
      <c r="AK641" s="53">
        <f>IF(AN641=15,M641,0)</f>
        <v>0</v>
      </c>
      <c r="AL641" s="53">
        <f>IF(AN641=21,M641,0)</f>
        <v>0</v>
      </c>
      <c r="AN641" s="33">
        <v>21</v>
      </c>
      <c r="AO641" s="33">
        <f>L641*0</f>
        <v>0</v>
      </c>
      <c r="AP641" s="33">
        <f>L641*(1-0)</f>
        <v>0</v>
      </c>
      <c r="AQ641" s="59" t="s">
        <v>84</v>
      </c>
      <c r="AV641" s="33">
        <f>AW641+AX641</f>
        <v>0</v>
      </c>
      <c r="AW641" s="33">
        <f>K641*AO641</f>
        <v>0</v>
      </c>
      <c r="AX641" s="33">
        <f>K641*AP641</f>
        <v>0</v>
      </c>
      <c r="AY641" s="61" t="s">
        <v>1011</v>
      </c>
      <c r="AZ641" s="61" t="s">
        <v>1031</v>
      </c>
      <c r="BA641" s="58" t="s">
        <v>1039</v>
      </c>
      <c r="BC641" s="33">
        <f>AW641+AX641</f>
        <v>0</v>
      </c>
      <c r="BD641" s="33">
        <f>L641/(100-BE641)*100</f>
        <v>0</v>
      </c>
      <c r="BE641" s="33">
        <v>0</v>
      </c>
      <c r="BF641" s="33">
        <f>641</f>
        <v>641</v>
      </c>
      <c r="BH641" s="53">
        <f>K641*AO641</f>
        <v>0</v>
      </c>
      <c r="BI641" s="53">
        <f>K641*AP641</f>
        <v>0</v>
      </c>
      <c r="BJ641" s="53">
        <f>K641*L641</f>
        <v>0</v>
      </c>
      <c r="BK641" s="53" t="s">
        <v>1046</v>
      </c>
      <c r="BL641" s="33" t="s">
        <v>364</v>
      </c>
    </row>
    <row r="642" spans="1:14" ht="12.75">
      <c r="A642" s="17"/>
      <c r="D642" s="143" t="s">
        <v>929</v>
      </c>
      <c r="E642" s="144"/>
      <c r="F642" s="144"/>
      <c r="G642" s="144"/>
      <c r="H642" s="144"/>
      <c r="I642" s="144"/>
      <c r="K642" s="75">
        <v>1.5</v>
      </c>
      <c r="M642" s="14"/>
      <c r="N642" s="17"/>
    </row>
    <row r="643" spans="1:14" ht="12.75">
      <c r="A643" s="40"/>
      <c r="B643" s="47" t="s">
        <v>64</v>
      </c>
      <c r="C643" s="47"/>
      <c r="D643" s="150" t="s">
        <v>70</v>
      </c>
      <c r="E643" s="151"/>
      <c r="F643" s="151"/>
      <c r="G643" s="151"/>
      <c r="H643" s="151"/>
      <c r="I643" s="151"/>
      <c r="J643" s="51" t="s">
        <v>59</v>
      </c>
      <c r="K643" s="51" t="s">
        <v>59</v>
      </c>
      <c r="L643" s="51" t="s">
        <v>59</v>
      </c>
      <c r="M643" s="67">
        <f>M644+M649+M654+M660+M665+M684+M697</f>
        <v>0</v>
      </c>
      <c r="N643" s="17"/>
    </row>
    <row r="644" spans="1:47" ht="12.75">
      <c r="A644" s="37"/>
      <c r="B644" s="44" t="s">
        <v>64</v>
      </c>
      <c r="C644" s="44" t="s">
        <v>90</v>
      </c>
      <c r="D644" s="139" t="s">
        <v>432</v>
      </c>
      <c r="E644" s="140"/>
      <c r="F644" s="140"/>
      <c r="G644" s="140"/>
      <c r="H644" s="140"/>
      <c r="I644" s="140"/>
      <c r="J644" s="50" t="s">
        <v>59</v>
      </c>
      <c r="K644" s="50" t="s">
        <v>59</v>
      </c>
      <c r="L644" s="50" t="s">
        <v>59</v>
      </c>
      <c r="M644" s="64">
        <f>SUM(M645:M647)</f>
        <v>0</v>
      </c>
      <c r="N644" s="17"/>
      <c r="AI644" s="58" t="s">
        <v>64</v>
      </c>
      <c r="AS644" s="68">
        <f>SUM(AJ645:AJ647)</f>
        <v>0</v>
      </c>
      <c r="AT644" s="68">
        <f>SUM(AK645:AK647)</f>
        <v>0</v>
      </c>
      <c r="AU644" s="68">
        <f>SUM(AL645:AL647)</f>
        <v>0</v>
      </c>
    </row>
    <row r="645" spans="1:64" ht="12.75">
      <c r="A645" s="38" t="s">
        <v>233</v>
      </c>
      <c r="B645" s="45" t="s">
        <v>64</v>
      </c>
      <c r="C645" s="45" t="s">
        <v>264</v>
      </c>
      <c r="D645" s="141" t="s">
        <v>433</v>
      </c>
      <c r="E645" s="142"/>
      <c r="F645" s="142"/>
      <c r="G645" s="142"/>
      <c r="H645" s="142"/>
      <c r="I645" s="142"/>
      <c r="J645" s="45" t="s">
        <v>968</v>
      </c>
      <c r="K645" s="74">
        <v>47</v>
      </c>
      <c r="L645" s="53">
        <v>0</v>
      </c>
      <c r="M645" s="65">
        <f>K645*L645</f>
        <v>0</v>
      </c>
      <c r="N645" s="17"/>
      <c r="Z645" s="33">
        <f>IF(AQ645="5",BJ645,0)</f>
        <v>0</v>
      </c>
      <c r="AB645" s="33">
        <f>IF(AQ645="1",BH645,0)</f>
        <v>0</v>
      </c>
      <c r="AC645" s="33">
        <f>IF(AQ645="1",BI645,0)</f>
        <v>0</v>
      </c>
      <c r="AD645" s="33">
        <f>IF(AQ645="7",BH645,0)</f>
        <v>0</v>
      </c>
      <c r="AE645" s="33">
        <f>IF(AQ645="7",BI645,0)</f>
        <v>0</v>
      </c>
      <c r="AF645" s="33">
        <f>IF(AQ645="2",BH645,0)</f>
        <v>0</v>
      </c>
      <c r="AG645" s="33">
        <f>IF(AQ645="2",BI645,0)</f>
        <v>0</v>
      </c>
      <c r="AH645" s="33">
        <f>IF(AQ645="0",BJ645,0)</f>
        <v>0</v>
      </c>
      <c r="AI645" s="58" t="s">
        <v>64</v>
      </c>
      <c r="AJ645" s="53">
        <f>IF(AN645=0,M645,0)</f>
        <v>0</v>
      </c>
      <c r="AK645" s="53">
        <f>IF(AN645=15,M645,0)</f>
        <v>0</v>
      </c>
      <c r="AL645" s="53">
        <f>IF(AN645=21,M645,0)</f>
        <v>0</v>
      </c>
      <c r="AN645" s="33">
        <v>21</v>
      </c>
      <c r="AO645" s="33">
        <f>L645*0</f>
        <v>0</v>
      </c>
      <c r="AP645" s="33">
        <f>L645*(1-0)</f>
        <v>0</v>
      </c>
      <c r="AQ645" s="59" t="s">
        <v>80</v>
      </c>
      <c r="AV645" s="33">
        <f>AW645+AX645</f>
        <v>0</v>
      </c>
      <c r="AW645" s="33">
        <f>K645*AO645</f>
        <v>0</v>
      </c>
      <c r="AX645" s="33">
        <f>K645*AP645</f>
        <v>0</v>
      </c>
      <c r="AY645" s="61" t="s">
        <v>990</v>
      </c>
      <c r="AZ645" s="61" t="s">
        <v>1032</v>
      </c>
      <c r="BA645" s="58" t="s">
        <v>1040</v>
      </c>
      <c r="BC645" s="33">
        <f>AW645+AX645</f>
        <v>0</v>
      </c>
      <c r="BD645" s="33">
        <f>L645/(100-BE645)*100</f>
        <v>0</v>
      </c>
      <c r="BE645" s="33">
        <v>0</v>
      </c>
      <c r="BF645" s="33">
        <f>645</f>
        <v>645</v>
      </c>
      <c r="BH645" s="53">
        <f>K645*AO645</f>
        <v>0</v>
      </c>
      <c r="BI645" s="53">
        <f>K645*AP645</f>
        <v>0</v>
      </c>
      <c r="BJ645" s="53">
        <f>K645*L645</f>
        <v>0</v>
      </c>
      <c r="BK645" s="53" t="s">
        <v>1046</v>
      </c>
      <c r="BL645" s="33">
        <v>11</v>
      </c>
    </row>
    <row r="646" spans="1:14" ht="12.75">
      <c r="A646" s="17"/>
      <c r="D646" s="143" t="s">
        <v>930</v>
      </c>
      <c r="E646" s="144"/>
      <c r="F646" s="144"/>
      <c r="G646" s="144"/>
      <c r="H646" s="144"/>
      <c r="I646" s="144"/>
      <c r="K646" s="75">
        <v>47</v>
      </c>
      <c r="M646" s="14"/>
      <c r="N646" s="17"/>
    </row>
    <row r="647" spans="1:64" ht="12.75">
      <c r="A647" s="38" t="s">
        <v>234</v>
      </c>
      <c r="B647" s="45" t="s">
        <v>64</v>
      </c>
      <c r="C647" s="45" t="s">
        <v>391</v>
      </c>
      <c r="D647" s="141" t="s">
        <v>864</v>
      </c>
      <c r="E647" s="142"/>
      <c r="F647" s="142"/>
      <c r="G647" s="142"/>
      <c r="H647" s="142"/>
      <c r="I647" s="142"/>
      <c r="J647" s="45" t="s">
        <v>972</v>
      </c>
      <c r="K647" s="74">
        <v>130</v>
      </c>
      <c r="L647" s="53">
        <v>0</v>
      </c>
      <c r="M647" s="65">
        <f>K647*L647</f>
        <v>0</v>
      </c>
      <c r="N647" s="17"/>
      <c r="Z647" s="33">
        <f>IF(AQ647="5",BJ647,0)</f>
        <v>0</v>
      </c>
      <c r="AB647" s="33">
        <f>IF(AQ647="1",BH647,0)</f>
        <v>0</v>
      </c>
      <c r="AC647" s="33">
        <f>IF(AQ647="1",BI647,0)</f>
        <v>0</v>
      </c>
      <c r="AD647" s="33">
        <f>IF(AQ647="7",BH647,0)</f>
        <v>0</v>
      </c>
      <c r="AE647" s="33">
        <f>IF(AQ647="7",BI647,0)</f>
        <v>0</v>
      </c>
      <c r="AF647" s="33">
        <f>IF(AQ647="2",BH647,0)</f>
        <v>0</v>
      </c>
      <c r="AG647" s="33">
        <f>IF(AQ647="2",BI647,0)</f>
        <v>0</v>
      </c>
      <c r="AH647" s="33">
        <f>IF(AQ647="0",BJ647,0)</f>
        <v>0</v>
      </c>
      <c r="AI647" s="58" t="s">
        <v>64</v>
      </c>
      <c r="AJ647" s="53">
        <f>IF(AN647=0,M647,0)</f>
        <v>0</v>
      </c>
      <c r="AK647" s="53">
        <f>IF(AN647=15,M647,0)</f>
        <v>0</v>
      </c>
      <c r="AL647" s="53">
        <f>IF(AN647=21,M647,0)</f>
        <v>0</v>
      </c>
      <c r="AN647" s="33">
        <v>21</v>
      </c>
      <c r="AO647" s="33">
        <f>L647*0</f>
        <v>0</v>
      </c>
      <c r="AP647" s="33">
        <f>L647*(1-0)</f>
        <v>0</v>
      </c>
      <c r="AQ647" s="59" t="s">
        <v>80</v>
      </c>
      <c r="AV647" s="33">
        <f>AW647+AX647</f>
        <v>0</v>
      </c>
      <c r="AW647" s="33">
        <f>K647*AO647</f>
        <v>0</v>
      </c>
      <c r="AX647" s="33">
        <f>K647*AP647</f>
        <v>0</v>
      </c>
      <c r="AY647" s="61" t="s">
        <v>990</v>
      </c>
      <c r="AZ647" s="61" t="s">
        <v>1032</v>
      </c>
      <c r="BA647" s="58" t="s">
        <v>1040</v>
      </c>
      <c r="BC647" s="33">
        <f>AW647+AX647</f>
        <v>0</v>
      </c>
      <c r="BD647" s="33">
        <f>L647/(100-BE647)*100</f>
        <v>0</v>
      </c>
      <c r="BE647" s="33">
        <v>0</v>
      </c>
      <c r="BF647" s="33">
        <f>647</f>
        <v>647</v>
      </c>
      <c r="BH647" s="53">
        <f>K647*AO647</f>
        <v>0</v>
      </c>
      <c r="BI647" s="53">
        <f>K647*AP647</f>
        <v>0</v>
      </c>
      <c r="BJ647" s="53">
        <f>K647*L647</f>
        <v>0</v>
      </c>
      <c r="BK647" s="53" t="s">
        <v>1046</v>
      </c>
      <c r="BL647" s="33">
        <v>11</v>
      </c>
    </row>
    <row r="648" spans="1:14" ht="12.75">
      <c r="A648" s="17"/>
      <c r="D648" s="143" t="s">
        <v>931</v>
      </c>
      <c r="E648" s="144"/>
      <c r="F648" s="144"/>
      <c r="G648" s="144"/>
      <c r="H648" s="144"/>
      <c r="I648" s="144"/>
      <c r="K648" s="75">
        <v>130</v>
      </c>
      <c r="M648" s="14"/>
      <c r="N648" s="17"/>
    </row>
    <row r="649" spans="1:47" ht="12.75">
      <c r="A649" s="37"/>
      <c r="B649" s="44" t="s">
        <v>64</v>
      </c>
      <c r="C649" s="44" t="s">
        <v>97</v>
      </c>
      <c r="D649" s="139" t="s">
        <v>593</v>
      </c>
      <c r="E649" s="140"/>
      <c r="F649" s="140"/>
      <c r="G649" s="140"/>
      <c r="H649" s="140"/>
      <c r="I649" s="140"/>
      <c r="J649" s="50" t="s">
        <v>59</v>
      </c>
      <c r="K649" s="50" t="s">
        <v>59</v>
      </c>
      <c r="L649" s="50" t="s">
        <v>59</v>
      </c>
      <c r="M649" s="64">
        <f>SUM(M650:M652)</f>
        <v>0</v>
      </c>
      <c r="N649" s="17"/>
      <c r="AI649" s="58" t="s">
        <v>64</v>
      </c>
      <c r="AS649" s="68">
        <f>SUM(AJ650:AJ652)</f>
        <v>0</v>
      </c>
      <c r="AT649" s="68">
        <f>SUM(AK650:AK652)</f>
        <v>0</v>
      </c>
      <c r="AU649" s="68">
        <f>SUM(AL650:AL652)</f>
        <v>0</v>
      </c>
    </row>
    <row r="650" spans="1:64" ht="12.75">
      <c r="A650" s="38" t="s">
        <v>235</v>
      </c>
      <c r="B650" s="45" t="s">
        <v>64</v>
      </c>
      <c r="C650" s="45" t="s">
        <v>411</v>
      </c>
      <c r="D650" s="141" t="s">
        <v>932</v>
      </c>
      <c r="E650" s="142"/>
      <c r="F650" s="142"/>
      <c r="G650" s="142"/>
      <c r="H650" s="142"/>
      <c r="I650" s="142"/>
      <c r="J650" s="45" t="s">
        <v>972</v>
      </c>
      <c r="K650" s="74">
        <v>33</v>
      </c>
      <c r="L650" s="53">
        <v>0</v>
      </c>
      <c r="M650" s="65">
        <f>K650*L650</f>
        <v>0</v>
      </c>
      <c r="N650" s="17"/>
      <c r="Z650" s="33">
        <f>IF(AQ650="5",BJ650,0)</f>
        <v>0</v>
      </c>
      <c r="AB650" s="33">
        <f>IF(AQ650="1",BH650,0)</f>
        <v>0</v>
      </c>
      <c r="AC650" s="33">
        <f>IF(AQ650="1",BI650,0)</f>
        <v>0</v>
      </c>
      <c r="AD650" s="33">
        <f>IF(AQ650="7",BH650,0)</f>
        <v>0</v>
      </c>
      <c r="AE650" s="33">
        <f>IF(AQ650="7",BI650,0)</f>
        <v>0</v>
      </c>
      <c r="AF650" s="33">
        <f>IF(AQ650="2",BH650,0)</f>
        <v>0</v>
      </c>
      <c r="AG650" s="33">
        <f>IF(AQ650="2",BI650,0)</f>
        <v>0</v>
      </c>
      <c r="AH650" s="33">
        <f>IF(AQ650="0",BJ650,0)</f>
        <v>0</v>
      </c>
      <c r="AI650" s="58" t="s">
        <v>64</v>
      </c>
      <c r="AJ650" s="53">
        <f>IF(AN650=0,M650,0)</f>
        <v>0</v>
      </c>
      <c r="AK650" s="53">
        <f>IF(AN650=15,M650,0)</f>
        <v>0</v>
      </c>
      <c r="AL650" s="53">
        <f>IF(AN650=21,M650,0)</f>
        <v>0</v>
      </c>
      <c r="AN650" s="33">
        <v>21</v>
      </c>
      <c r="AO650" s="33">
        <f>L650*0</f>
        <v>0</v>
      </c>
      <c r="AP650" s="33">
        <f>L650*(1-0)</f>
        <v>0</v>
      </c>
      <c r="AQ650" s="59" t="s">
        <v>80</v>
      </c>
      <c r="AV650" s="33">
        <f>AW650+AX650</f>
        <v>0</v>
      </c>
      <c r="AW650" s="33">
        <f>K650*AO650</f>
        <v>0</v>
      </c>
      <c r="AX650" s="33">
        <f>K650*AP650</f>
        <v>0</v>
      </c>
      <c r="AY650" s="61" t="s">
        <v>995</v>
      </c>
      <c r="AZ650" s="61" t="s">
        <v>1032</v>
      </c>
      <c r="BA650" s="58" t="s">
        <v>1040</v>
      </c>
      <c r="BC650" s="33">
        <f>AW650+AX650</f>
        <v>0</v>
      </c>
      <c r="BD650" s="33">
        <f>L650/(100-BE650)*100</f>
        <v>0</v>
      </c>
      <c r="BE650" s="33">
        <v>0</v>
      </c>
      <c r="BF650" s="33">
        <f>650</f>
        <v>650</v>
      </c>
      <c r="BH650" s="53">
        <f>K650*AO650</f>
        <v>0</v>
      </c>
      <c r="BI650" s="53">
        <f>K650*AP650</f>
        <v>0</v>
      </c>
      <c r="BJ650" s="53">
        <f>K650*L650</f>
        <v>0</v>
      </c>
      <c r="BK650" s="53" t="s">
        <v>1046</v>
      </c>
      <c r="BL650" s="33">
        <v>18</v>
      </c>
    </row>
    <row r="651" spans="1:14" ht="12.75">
      <c r="A651" s="17"/>
      <c r="D651" s="143" t="s">
        <v>933</v>
      </c>
      <c r="E651" s="144"/>
      <c r="F651" s="144"/>
      <c r="G651" s="144"/>
      <c r="H651" s="144"/>
      <c r="I651" s="144"/>
      <c r="K651" s="75">
        <v>33</v>
      </c>
      <c r="M651" s="14"/>
      <c r="N651" s="17"/>
    </row>
    <row r="652" spans="1:64" ht="12.75">
      <c r="A652" s="38" t="s">
        <v>236</v>
      </c>
      <c r="B652" s="45" t="s">
        <v>64</v>
      </c>
      <c r="C652" s="45" t="s">
        <v>400</v>
      </c>
      <c r="D652" s="141" t="s">
        <v>896</v>
      </c>
      <c r="E652" s="142"/>
      <c r="F652" s="142"/>
      <c r="G652" s="142"/>
      <c r="H652" s="142"/>
      <c r="I652" s="142"/>
      <c r="J652" s="45" t="s">
        <v>972</v>
      </c>
      <c r="K652" s="74">
        <v>33</v>
      </c>
      <c r="L652" s="53">
        <v>0</v>
      </c>
      <c r="M652" s="65">
        <f>K652*L652</f>
        <v>0</v>
      </c>
      <c r="N652" s="17"/>
      <c r="Z652" s="33">
        <f>IF(AQ652="5",BJ652,0)</f>
        <v>0</v>
      </c>
      <c r="AB652" s="33">
        <f>IF(AQ652="1",BH652,0)</f>
        <v>0</v>
      </c>
      <c r="AC652" s="33">
        <f>IF(AQ652="1",BI652,0)</f>
        <v>0</v>
      </c>
      <c r="AD652" s="33">
        <f>IF(AQ652="7",BH652,0)</f>
        <v>0</v>
      </c>
      <c r="AE652" s="33">
        <f>IF(AQ652="7",BI652,0)</f>
        <v>0</v>
      </c>
      <c r="AF652" s="33">
        <f>IF(AQ652="2",BH652,0)</f>
        <v>0</v>
      </c>
      <c r="AG652" s="33">
        <f>IF(AQ652="2",BI652,0)</f>
        <v>0</v>
      </c>
      <c r="AH652" s="33">
        <f>IF(AQ652="0",BJ652,0)</f>
        <v>0</v>
      </c>
      <c r="AI652" s="58" t="s">
        <v>64</v>
      </c>
      <c r="AJ652" s="53">
        <f>IF(AN652=0,M652,0)</f>
        <v>0</v>
      </c>
      <c r="AK652" s="53">
        <f>IF(AN652=15,M652,0)</f>
        <v>0</v>
      </c>
      <c r="AL652" s="53">
        <f>IF(AN652=21,M652,0)</f>
        <v>0</v>
      </c>
      <c r="AN652" s="33">
        <v>21</v>
      </c>
      <c r="AO652" s="33">
        <f>L652*0.187545787545788</f>
        <v>0</v>
      </c>
      <c r="AP652" s="33">
        <f>L652*(1-0.187545787545788)</f>
        <v>0</v>
      </c>
      <c r="AQ652" s="59" t="s">
        <v>80</v>
      </c>
      <c r="AV652" s="33">
        <f>AW652+AX652</f>
        <v>0</v>
      </c>
      <c r="AW652" s="33">
        <f>K652*AO652</f>
        <v>0</v>
      </c>
      <c r="AX652" s="33">
        <f>K652*AP652</f>
        <v>0</v>
      </c>
      <c r="AY652" s="61" t="s">
        <v>995</v>
      </c>
      <c r="AZ652" s="61" t="s">
        <v>1032</v>
      </c>
      <c r="BA652" s="58" t="s">
        <v>1040</v>
      </c>
      <c r="BC652" s="33">
        <f>AW652+AX652</f>
        <v>0</v>
      </c>
      <c r="BD652" s="33">
        <f>L652/(100-BE652)*100</f>
        <v>0</v>
      </c>
      <c r="BE652" s="33">
        <v>0</v>
      </c>
      <c r="BF652" s="33">
        <f>652</f>
        <v>652</v>
      </c>
      <c r="BH652" s="53">
        <f>K652*AO652</f>
        <v>0</v>
      </c>
      <c r="BI652" s="53">
        <f>K652*AP652</f>
        <v>0</v>
      </c>
      <c r="BJ652" s="53">
        <f>K652*L652</f>
        <v>0</v>
      </c>
      <c r="BK652" s="53" t="s">
        <v>1046</v>
      </c>
      <c r="BL652" s="33">
        <v>18</v>
      </c>
    </row>
    <row r="653" spans="1:14" ht="12.75">
      <c r="A653" s="17"/>
      <c r="D653" s="143" t="s">
        <v>933</v>
      </c>
      <c r="E653" s="144"/>
      <c r="F653" s="144"/>
      <c r="G653" s="144"/>
      <c r="H653" s="144"/>
      <c r="I653" s="144"/>
      <c r="K653" s="75">
        <v>33</v>
      </c>
      <c r="M653" s="14"/>
      <c r="N653" s="17"/>
    </row>
    <row r="654" spans="1:47" ht="12.75">
      <c r="A654" s="37"/>
      <c r="B654" s="44" t="s">
        <v>64</v>
      </c>
      <c r="C654" s="44" t="s">
        <v>138</v>
      </c>
      <c r="D654" s="139" t="s">
        <v>636</v>
      </c>
      <c r="E654" s="140"/>
      <c r="F654" s="140"/>
      <c r="G654" s="140"/>
      <c r="H654" s="140"/>
      <c r="I654" s="140"/>
      <c r="J654" s="50" t="s">
        <v>59</v>
      </c>
      <c r="K654" s="50" t="s">
        <v>59</v>
      </c>
      <c r="L654" s="50" t="s">
        <v>59</v>
      </c>
      <c r="M654" s="64">
        <f>SUM(M655:M657)</f>
        <v>0</v>
      </c>
      <c r="N654" s="17"/>
      <c r="AI654" s="58" t="s">
        <v>64</v>
      </c>
      <c r="AS654" s="68">
        <f>SUM(AJ655:AJ657)</f>
        <v>0</v>
      </c>
      <c r="AT654" s="68">
        <f>SUM(AK655:AK657)</f>
        <v>0</v>
      </c>
      <c r="AU654" s="68">
        <f>SUM(AL655:AL657)</f>
        <v>0</v>
      </c>
    </row>
    <row r="655" spans="1:64" ht="12.75">
      <c r="A655" s="38" t="s">
        <v>237</v>
      </c>
      <c r="B655" s="45" t="s">
        <v>64</v>
      </c>
      <c r="C655" s="45" t="s">
        <v>379</v>
      </c>
      <c r="D655" s="141" t="s">
        <v>818</v>
      </c>
      <c r="E655" s="142"/>
      <c r="F655" s="142"/>
      <c r="G655" s="142"/>
      <c r="H655" s="142"/>
      <c r="I655" s="142"/>
      <c r="J655" s="45" t="s">
        <v>972</v>
      </c>
      <c r="K655" s="74">
        <v>130</v>
      </c>
      <c r="L655" s="53">
        <v>0</v>
      </c>
      <c r="M655" s="65">
        <f>K655*L655</f>
        <v>0</v>
      </c>
      <c r="N655" s="17"/>
      <c r="Z655" s="33">
        <f>IF(AQ655="5",BJ655,0)</f>
        <v>0</v>
      </c>
      <c r="AB655" s="33">
        <f>IF(AQ655="1",BH655,0)</f>
        <v>0</v>
      </c>
      <c r="AC655" s="33">
        <f>IF(AQ655="1",BI655,0)</f>
        <v>0</v>
      </c>
      <c r="AD655" s="33">
        <f>IF(AQ655="7",BH655,0)</f>
        <v>0</v>
      </c>
      <c r="AE655" s="33">
        <f>IF(AQ655="7",BI655,0)</f>
        <v>0</v>
      </c>
      <c r="AF655" s="33">
        <f>IF(AQ655="2",BH655,0)</f>
        <v>0</v>
      </c>
      <c r="AG655" s="33">
        <f>IF(AQ655="2",BI655,0)</f>
        <v>0</v>
      </c>
      <c r="AH655" s="33">
        <f>IF(AQ655="0",BJ655,0)</f>
        <v>0</v>
      </c>
      <c r="AI655" s="58" t="s">
        <v>64</v>
      </c>
      <c r="AJ655" s="53">
        <f>IF(AN655=0,M655,0)</f>
        <v>0</v>
      </c>
      <c r="AK655" s="53">
        <f>IF(AN655=15,M655,0)</f>
        <v>0</v>
      </c>
      <c r="AL655" s="53">
        <f>IF(AN655=21,M655,0)</f>
        <v>0</v>
      </c>
      <c r="AN655" s="33">
        <v>21</v>
      </c>
      <c r="AO655" s="33">
        <f>L655*0.148384754990926</f>
        <v>0</v>
      </c>
      <c r="AP655" s="33">
        <f>L655*(1-0.148384754990926)</f>
        <v>0</v>
      </c>
      <c r="AQ655" s="59" t="s">
        <v>80</v>
      </c>
      <c r="AV655" s="33">
        <f>AW655+AX655</f>
        <v>0</v>
      </c>
      <c r="AW655" s="33">
        <f>K655*AO655</f>
        <v>0</v>
      </c>
      <c r="AX655" s="33">
        <f>K655*AP655</f>
        <v>0</v>
      </c>
      <c r="AY655" s="61" t="s">
        <v>1000</v>
      </c>
      <c r="AZ655" s="61" t="s">
        <v>1033</v>
      </c>
      <c r="BA655" s="58" t="s">
        <v>1040</v>
      </c>
      <c r="BC655" s="33">
        <f>AW655+AX655</f>
        <v>0</v>
      </c>
      <c r="BD655" s="33">
        <f>L655/(100-BE655)*100</f>
        <v>0</v>
      </c>
      <c r="BE655" s="33">
        <v>0</v>
      </c>
      <c r="BF655" s="33">
        <f>655</f>
        <v>655</v>
      </c>
      <c r="BH655" s="53">
        <f>K655*AO655</f>
        <v>0</v>
      </c>
      <c r="BI655" s="53">
        <f>K655*AP655</f>
        <v>0</v>
      </c>
      <c r="BJ655" s="53">
        <f>K655*L655</f>
        <v>0</v>
      </c>
      <c r="BK655" s="53" t="s">
        <v>1046</v>
      </c>
      <c r="BL655" s="33">
        <v>59</v>
      </c>
    </row>
    <row r="656" spans="1:14" ht="12.75">
      <c r="A656" s="17"/>
      <c r="D656" s="143" t="s">
        <v>931</v>
      </c>
      <c r="E656" s="144"/>
      <c r="F656" s="144"/>
      <c r="G656" s="144"/>
      <c r="H656" s="144"/>
      <c r="I656" s="144"/>
      <c r="K656" s="75">
        <v>130</v>
      </c>
      <c r="M656" s="14"/>
      <c r="N656" s="17"/>
    </row>
    <row r="657" spans="1:64" ht="12.75">
      <c r="A657" s="39" t="s">
        <v>238</v>
      </c>
      <c r="B657" s="46" t="s">
        <v>64</v>
      </c>
      <c r="C657" s="46" t="s">
        <v>380</v>
      </c>
      <c r="D657" s="148" t="s">
        <v>823</v>
      </c>
      <c r="E657" s="149"/>
      <c r="F657" s="149"/>
      <c r="G657" s="149"/>
      <c r="H657" s="149"/>
      <c r="I657" s="149"/>
      <c r="J657" s="46" t="s">
        <v>972</v>
      </c>
      <c r="K657" s="78">
        <v>133.9</v>
      </c>
      <c r="L657" s="54">
        <v>0</v>
      </c>
      <c r="M657" s="66">
        <f>K657*L657</f>
        <v>0</v>
      </c>
      <c r="N657" s="17"/>
      <c r="Z657" s="33">
        <f>IF(AQ657="5",BJ657,0)</f>
        <v>0</v>
      </c>
      <c r="AB657" s="33">
        <f>IF(AQ657="1",BH657,0)</f>
        <v>0</v>
      </c>
      <c r="AC657" s="33">
        <f>IF(AQ657="1",BI657,0)</f>
        <v>0</v>
      </c>
      <c r="AD657" s="33">
        <f>IF(AQ657="7",BH657,0)</f>
        <v>0</v>
      </c>
      <c r="AE657" s="33">
        <f>IF(AQ657="7",BI657,0)</f>
        <v>0</v>
      </c>
      <c r="AF657" s="33">
        <f>IF(AQ657="2",BH657,0)</f>
        <v>0</v>
      </c>
      <c r="AG657" s="33">
        <f>IF(AQ657="2",BI657,0)</f>
        <v>0</v>
      </c>
      <c r="AH657" s="33">
        <f>IF(AQ657="0",BJ657,0)</f>
        <v>0</v>
      </c>
      <c r="AI657" s="58" t="s">
        <v>64</v>
      </c>
      <c r="AJ657" s="54">
        <f>IF(AN657=0,M657,0)</f>
        <v>0</v>
      </c>
      <c r="AK657" s="54">
        <f>IF(AN657=15,M657,0)</f>
        <v>0</v>
      </c>
      <c r="AL657" s="54">
        <f>IF(AN657=21,M657,0)</f>
        <v>0</v>
      </c>
      <c r="AN657" s="33">
        <v>21</v>
      </c>
      <c r="AO657" s="33">
        <f>L657*1</f>
        <v>0</v>
      </c>
      <c r="AP657" s="33">
        <f>L657*(1-1)</f>
        <v>0</v>
      </c>
      <c r="AQ657" s="60" t="s">
        <v>80</v>
      </c>
      <c r="AV657" s="33">
        <f>AW657+AX657</f>
        <v>0</v>
      </c>
      <c r="AW657" s="33">
        <f>K657*AO657</f>
        <v>0</v>
      </c>
      <c r="AX657" s="33">
        <f>K657*AP657</f>
        <v>0</v>
      </c>
      <c r="AY657" s="61" t="s">
        <v>1000</v>
      </c>
      <c r="AZ657" s="61" t="s">
        <v>1033</v>
      </c>
      <c r="BA657" s="58" t="s">
        <v>1040</v>
      </c>
      <c r="BC657" s="33">
        <f>AW657+AX657</f>
        <v>0</v>
      </c>
      <c r="BD657" s="33">
        <f>L657/(100-BE657)*100</f>
        <v>0</v>
      </c>
      <c r="BE657" s="33">
        <v>0</v>
      </c>
      <c r="BF657" s="33">
        <f>657</f>
        <v>657</v>
      </c>
      <c r="BH657" s="54">
        <f>K657*AO657</f>
        <v>0</v>
      </c>
      <c r="BI657" s="54">
        <f>K657*AP657</f>
        <v>0</v>
      </c>
      <c r="BJ657" s="54">
        <f>K657*L657</f>
        <v>0</v>
      </c>
      <c r="BK657" s="54" t="s">
        <v>1047</v>
      </c>
      <c r="BL657" s="33">
        <v>59</v>
      </c>
    </row>
    <row r="658" spans="1:14" ht="12.75">
      <c r="A658" s="17"/>
      <c r="D658" s="143" t="s">
        <v>931</v>
      </c>
      <c r="E658" s="144"/>
      <c r="F658" s="144"/>
      <c r="G658" s="144"/>
      <c r="H658" s="144"/>
      <c r="I658" s="144"/>
      <c r="K658" s="75">
        <v>130</v>
      </c>
      <c r="M658" s="14"/>
      <c r="N658" s="17"/>
    </row>
    <row r="659" spans="1:14" ht="12.75">
      <c r="A659" s="17"/>
      <c r="D659" s="143" t="s">
        <v>934</v>
      </c>
      <c r="E659" s="144"/>
      <c r="F659" s="144"/>
      <c r="G659" s="144"/>
      <c r="H659" s="144"/>
      <c r="I659" s="144"/>
      <c r="K659" s="75">
        <v>3.9</v>
      </c>
      <c r="M659" s="14"/>
      <c r="N659" s="17"/>
    </row>
    <row r="660" spans="1:47" ht="12.75">
      <c r="A660" s="37"/>
      <c r="B660" s="44" t="s">
        <v>64</v>
      </c>
      <c r="C660" s="44" t="s">
        <v>168</v>
      </c>
      <c r="D660" s="139" t="s">
        <v>706</v>
      </c>
      <c r="E660" s="140"/>
      <c r="F660" s="140"/>
      <c r="G660" s="140"/>
      <c r="H660" s="140"/>
      <c r="I660" s="140"/>
      <c r="J660" s="50" t="s">
        <v>59</v>
      </c>
      <c r="K660" s="50" t="s">
        <v>59</v>
      </c>
      <c r="L660" s="50" t="s">
        <v>59</v>
      </c>
      <c r="M660" s="64">
        <f>SUM(M661:M663)</f>
        <v>0</v>
      </c>
      <c r="N660" s="17"/>
      <c r="AI660" s="58" t="s">
        <v>64</v>
      </c>
      <c r="AS660" s="68">
        <f>SUM(AJ661:AJ663)</f>
        <v>0</v>
      </c>
      <c r="AT660" s="68">
        <f>SUM(AK661:AK663)</f>
        <v>0</v>
      </c>
      <c r="AU660" s="68">
        <f>SUM(AL661:AL663)</f>
        <v>0</v>
      </c>
    </row>
    <row r="661" spans="1:64" ht="12.75">
      <c r="A661" s="38" t="s">
        <v>239</v>
      </c>
      <c r="B661" s="45" t="s">
        <v>64</v>
      </c>
      <c r="C661" s="45" t="s">
        <v>412</v>
      </c>
      <c r="D661" s="141" t="s">
        <v>935</v>
      </c>
      <c r="E661" s="142"/>
      <c r="F661" s="142"/>
      <c r="G661" s="142"/>
      <c r="H661" s="142"/>
      <c r="I661" s="142"/>
      <c r="J661" s="45" t="s">
        <v>975</v>
      </c>
      <c r="K661" s="74">
        <v>2</v>
      </c>
      <c r="L661" s="53">
        <v>0</v>
      </c>
      <c r="M661" s="65">
        <f>K661*L661</f>
        <v>0</v>
      </c>
      <c r="N661" s="17"/>
      <c r="Z661" s="33">
        <f>IF(AQ661="5",BJ661,0)</f>
        <v>0</v>
      </c>
      <c r="AB661" s="33">
        <f>IF(AQ661="1",BH661,0)</f>
        <v>0</v>
      </c>
      <c r="AC661" s="33">
        <f>IF(AQ661="1",BI661,0)</f>
        <v>0</v>
      </c>
      <c r="AD661" s="33">
        <f>IF(AQ661="7",BH661,0)</f>
        <v>0</v>
      </c>
      <c r="AE661" s="33">
        <f>IF(AQ661="7",BI661,0)</f>
        <v>0</v>
      </c>
      <c r="AF661" s="33">
        <f>IF(AQ661="2",BH661,0)</f>
        <v>0</v>
      </c>
      <c r="AG661" s="33">
        <f>IF(AQ661="2",BI661,0)</f>
        <v>0</v>
      </c>
      <c r="AH661" s="33">
        <f>IF(AQ661="0",BJ661,0)</f>
        <v>0</v>
      </c>
      <c r="AI661" s="58" t="s">
        <v>64</v>
      </c>
      <c r="AJ661" s="53">
        <f>IF(AN661=0,M661,0)</f>
        <v>0</v>
      </c>
      <c r="AK661" s="53">
        <f>IF(AN661=15,M661,0)</f>
        <v>0</v>
      </c>
      <c r="AL661" s="53">
        <f>IF(AN661=21,M661,0)</f>
        <v>0</v>
      </c>
      <c r="AN661" s="33">
        <v>21</v>
      </c>
      <c r="AO661" s="33">
        <f>L661*0.0116760563380282</f>
        <v>0</v>
      </c>
      <c r="AP661" s="33">
        <f>L661*(1-0.0116760563380282)</f>
        <v>0</v>
      </c>
      <c r="AQ661" s="59" t="s">
        <v>80</v>
      </c>
      <c r="AV661" s="33">
        <f>AW661+AX661</f>
        <v>0</v>
      </c>
      <c r="AW661" s="33">
        <f>K661*AO661</f>
        <v>0</v>
      </c>
      <c r="AX661" s="33">
        <f>K661*AP661</f>
        <v>0</v>
      </c>
      <c r="AY661" s="61" t="s">
        <v>1004</v>
      </c>
      <c r="AZ661" s="61" t="s">
        <v>1034</v>
      </c>
      <c r="BA661" s="58" t="s">
        <v>1040</v>
      </c>
      <c r="BC661" s="33">
        <f>AW661+AX661</f>
        <v>0</v>
      </c>
      <c r="BD661" s="33">
        <f>L661/(100-BE661)*100</f>
        <v>0</v>
      </c>
      <c r="BE661" s="33">
        <v>0</v>
      </c>
      <c r="BF661" s="33">
        <f>661</f>
        <v>661</v>
      </c>
      <c r="BH661" s="53">
        <f>K661*AO661</f>
        <v>0</v>
      </c>
      <c r="BI661" s="53">
        <f>K661*AP661</f>
        <v>0</v>
      </c>
      <c r="BJ661" s="53">
        <f>K661*L661</f>
        <v>0</v>
      </c>
      <c r="BK661" s="53" t="s">
        <v>1046</v>
      </c>
      <c r="BL661" s="33">
        <v>89</v>
      </c>
    </row>
    <row r="662" spans="1:14" ht="12.75">
      <c r="A662" s="17"/>
      <c r="D662" s="143" t="s">
        <v>783</v>
      </c>
      <c r="E662" s="144"/>
      <c r="F662" s="144"/>
      <c r="G662" s="144"/>
      <c r="H662" s="144"/>
      <c r="I662" s="144"/>
      <c r="K662" s="75">
        <v>2</v>
      </c>
      <c r="M662" s="14"/>
      <c r="N662" s="17"/>
    </row>
    <row r="663" spans="1:64" ht="12.75">
      <c r="A663" s="39" t="s">
        <v>240</v>
      </c>
      <c r="B663" s="46" t="s">
        <v>64</v>
      </c>
      <c r="C663" s="46" t="s">
        <v>413</v>
      </c>
      <c r="D663" s="148" t="s">
        <v>936</v>
      </c>
      <c r="E663" s="149"/>
      <c r="F663" s="149"/>
      <c r="G663" s="149"/>
      <c r="H663" s="149"/>
      <c r="I663" s="149"/>
      <c r="J663" s="46" t="s">
        <v>975</v>
      </c>
      <c r="K663" s="78">
        <v>2</v>
      </c>
      <c r="L663" s="54">
        <v>0</v>
      </c>
      <c r="M663" s="66">
        <f>K663*L663</f>
        <v>0</v>
      </c>
      <c r="N663" s="17"/>
      <c r="Z663" s="33">
        <f>IF(AQ663="5",BJ663,0)</f>
        <v>0</v>
      </c>
      <c r="AB663" s="33">
        <f>IF(AQ663="1",BH663,0)</f>
        <v>0</v>
      </c>
      <c r="AC663" s="33">
        <f>IF(AQ663="1",BI663,0)</f>
        <v>0</v>
      </c>
      <c r="AD663" s="33">
        <f>IF(AQ663="7",BH663,0)</f>
        <v>0</v>
      </c>
      <c r="AE663" s="33">
        <f>IF(AQ663="7",BI663,0)</f>
        <v>0</v>
      </c>
      <c r="AF663" s="33">
        <f>IF(AQ663="2",BH663,0)</f>
        <v>0</v>
      </c>
      <c r="AG663" s="33">
        <f>IF(AQ663="2",BI663,0)</f>
        <v>0</v>
      </c>
      <c r="AH663" s="33">
        <f>IF(AQ663="0",BJ663,0)</f>
        <v>0</v>
      </c>
      <c r="AI663" s="58" t="s">
        <v>64</v>
      </c>
      <c r="AJ663" s="54">
        <f>IF(AN663=0,M663,0)</f>
        <v>0</v>
      </c>
      <c r="AK663" s="54">
        <f>IF(AN663=15,M663,0)</f>
        <v>0</v>
      </c>
      <c r="AL663" s="54">
        <f>IF(AN663=21,M663,0)</f>
        <v>0</v>
      </c>
      <c r="AN663" s="33">
        <v>21</v>
      </c>
      <c r="AO663" s="33">
        <f>L663*1</f>
        <v>0</v>
      </c>
      <c r="AP663" s="33">
        <f>L663*(1-1)</f>
        <v>0</v>
      </c>
      <c r="AQ663" s="60" t="s">
        <v>80</v>
      </c>
      <c r="AV663" s="33">
        <f>AW663+AX663</f>
        <v>0</v>
      </c>
      <c r="AW663" s="33">
        <f>K663*AO663</f>
        <v>0</v>
      </c>
      <c r="AX663" s="33">
        <f>K663*AP663</f>
        <v>0</v>
      </c>
      <c r="AY663" s="61" t="s">
        <v>1004</v>
      </c>
      <c r="AZ663" s="61" t="s">
        <v>1034</v>
      </c>
      <c r="BA663" s="58" t="s">
        <v>1040</v>
      </c>
      <c r="BC663" s="33">
        <f>AW663+AX663</f>
        <v>0</v>
      </c>
      <c r="BD663" s="33">
        <f>L663/(100-BE663)*100</f>
        <v>0</v>
      </c>
      <c r="BE663" s="33">
        <v>0</v>
      </c>
      <c r="BF663" s="33">
        <f>663</f>
        <v>663</v>
      </c>
      <c r="BH663" s="54">
        <f>K663*AO663</f>
        <v>0</v>
      </c>
      <c r="BI663" s="54">
        <f>K663*AP663</f>
        <v>0</v>
      </c>
      <c r="BJ663" s="54">
        <f>K663*L663</f>
        <v>0</v>
      </c>
      <c r="BK663" s="54" t="s">
        <v>1047</v>
      </c>
      <c r="BL663" s="33">
        <v>89</v>
      </c>
    </row>
    <row r="664" spans="1:14" ht="12.75">
      <c r="A664" s="17"/>
      <c r="D664" s="143" t="s">
        <v>783</v>
      </c>
      <c r="E664" s="144"/>
      <c r="F664" s="144"/>
      <c r="G664" s="144"/>
      <c r="H664" s="144"/>
      <c r="I664" s="144"/>
      <c r="K664" s="75">
        <v>2</v>
      </c>
      <c r="M664" s="14"/>
      <c r="N664" s="17"/>
    </row>
    <row r="665" spans="1:47" ht="12.75">
      <c r="A665" s="37"/>
      <c r="B665" s="44" t="s">
        <v>64</v>
      </c>
      <c r="C665" s="44" t="s">
        <v>170</v>
      </c>
      <c r="D665" s="139" t="s">
        <v>761</v>
      </c>
      <c r="E665" s="140"/>
      <c r="F665" s="140"/>
      <c r="G665" s="140"/>
      <c r="H665" s="140"/>
      <c r="I665" s="140"/>
      <c r="J665" s="50" t="s">
        <v>59</v>
      </c>
      <c r="K665" s="50" t="s">
        <v>59</v>
      </c>
      <c r="L665" s="50" t="s">
        <v>59</v>
      </c>
      <c r="M665" s="64">
        <f>SUM(M666:M682)</f>
        <v>0</v>
      </c>
      <c r="N665" s="17"/>
      <c r="AI665" s="58" t="s">
        <v>64</v>
      </c>
      <c r="AS665" s="68">
        <f>SUM(AJ666:AJ682)</f>
        <v>0</v>
      </c>
      <c r="AT665" s="68">
        <f>SUM(AK666:AK682)</f>
        <v>0</v>
      </c>
      <c r="AU665" s="68">
        <f>SUM(AL666:AL682)</f>
        <v>0</v>
      </c>
    </row>
    <row r="666" spans="1:64" ht="12.75">
      <c r="A666" s="38" t="s">
        <v>241</v>
      </c>
      <c r="B666" s="45" t="s">
        <v>64</v>
      </c>
      <c r="C666" s="45" t="s">
        <v>352</v>
      </c>
      <c r="D666" s="141" t="s">
        <v>762</v>
      </c>
      <c r="E666" s="142"/>
      <c r="F666" s="142"/>
      <c r="G666" s="142"/>
      <c r="H666" s="142"/>
      <c r="I666" s="142"/>
      <c r="J666" s="45" t="s">
        <v>968</v>
      </c>
      <c r="K666" s="74">
        <v>57.8</v>
      </c>
      <c r="L666" s="53">
        <v>0</v>
      </c>
      <c r="M666" s="65">
        <f>K666*L666</f>
        <v>0</v>
      </c>
      <c r="N666" s="17"/>
      <c r="Z666" s="33">
        <f>IF(AQ666="5",BJ666,0)</f>
        <v>0</v>
      </c>
      <c r="AB666" s="33">
        <f>IF(AQ666="1",BH666,0)</f>
        <v>0</v>
      </c>
      <c r="AC666" s="33">
        <f>IF(AQ666="1",BI666,0)</f>
        <v>0</v>
      </c>
      <c r="AD666" s="33">
        <f>IF(AQ666="7",BH666,0)</f>
        <v>0</v>
      </c>
      <c r="AE666" s="33">
        <f>IF(AQ666="7",BI666,0)</f>
        <v>0</v>
      </c>
      <c r="AF666" s="33">
        <f>IF(AQ666="2",BH666,0)</f>
        <v>0</v>
      </c>
      <c r="AG666" s="33">
        <f>IF(AQ666="2",BI666,0)</f>
        <v>0</v>
      </c>
      <c r="AH666" s="33">
        <f>IF(AQ666="0",BJ666,0)</f>
        <v>0</v>
      </c>
      <c r="AI666" s="58" t="s">
        <v>64</v>
      </c>
      <c r="AJ666" s="53">
        <f>IF(AN666=0,M666,0)</f>
        <v>0</v>
      </c>
      <c r="AK666" s="53">
        <f>IF(AN666=15,M666,0)</f>
        <v>0</v>
      </c>
      <c r="AL666" s="53">
        <f>IF(AN666=21,M666,0)</f>
        <v>0</v>
      </c>
      <c r="AN666" s="33">
        <v>21</v>
      </c>
      <c r="AO666" s="33">
        <f>L666*0.669161603888214</f>
        <v>0</v>
      </c>
      <c r="AP666" s="33">
        <f>L666*(1-0.669161603888214)</f>
        <v>0</v>
      </c>
      <c r="AQ666" s="59" t="s">
        <v>80</v>
      </c>
      <c r="AV666" s="33">
        <f>AW666+AX666</f>
        <v>0</v>
      </c>
      <c r="AW666" s="33">
        <f>K666*AO666</f>
        <v>0</v>
      </c>
      <c r="AX666" s="33">
        <f>K666*AP666</f>
        <v>0</v>
      </c>
      <c r="AY666" s="61" t="s">
        <v>1007</v>
      </c>
      <c r="AZ666" s="61" t="s">
        <v>1035</v>
      </c>
      <c r="BA666" s="58" t="s">
        <v>1040</v>
      </c>
      <c r="BC666" s="33">
        <f>AW666+AX666</f>
        <v>0</v>
      </c>
      <c r="BD666" s="33">
        <f>L666/(100-BE666)*100</f>
        <v>0</v>
      </c>
      <c r="BE666" s="33">
        <v>0</v>
      </c>
      <c r="BF666" s="33">
        <f>666</f>
        <v>666</v>
      </c>
      <c r="BH666" s="53">
        <f>K666*AO666</f>
        <v>0</v>
      </c>
      <c r="BI666" s="53">
        <f>K666*AP666</f>
        <v>0</v>
      </c>
      <c r="BJ666" s="53">
        <f>K666*L666</f>
        <v>0</v>
      </c>
      <c r="BK666" s="53" t="s">
        <v>1046</v>
      </c>
      <c r="BL666" s="33">
        <v>91</v>
      </c>
    </row>
    <row r="667" spans="1:14" ht="12.75">
      <c r="A667" s="17"/>
      <c r="D667" s="143" t="s">
        <v>937</v>
      </c>
      <c r="E667" s="144"/>
      <c r="F667" s="144"/>
      <c r="G667" s="144"/>
      <c r="H667" s="144"/>
      <c r="I667" s="144"/>
      <c r="K667" s="75">
        <v>43.5</v>
      </c>
      <c r="M667" s="14"/>
      <c r="N667" s="17"/>
    </row>
    <row r="668" spans="1:14" ht="12.75">
      <c r="A668" s="17"/>
      <c r="D668" s="143" t="s">
        <v>938</v>
      </c>
      <c r="E668" s="144"/>
      <c r="F668" s="144"/>
      <c r="G668" s="144"/>
      <c r="H668" s="144"/>
      <c r="I668" s="144"/>
      <c r="K668" s="75">
        <v>12.3</v>
      </c>
      <c r="M668" s="14"/>
      <c r="N668" s="17"/>
    </row>
    <row r="669" spans="1:14" ht="12.75">
      <c r="A669" s="17"/>
      <c r="D669" s="143" t="s">
        <v>939</v>
      </c>
      <c r="E669" s="144"/>
      <c r="F669" s="144"/>
      <c r="G669" s="144"/>
      <c r="H669" s="144"/>
      <c r="I669" s="144"/>
      <c r="K669" s="75">
        <v>2</v>
      </c>
      <c r="M669" s="14"/>
      <c r="N669" s="17"/>
    </row>
    <row r="670" spans="1:64" ht="12.75">
      <c r="A670" s="39" t="s">
        <v>242</v>
      </c>
      <c r="B670" s="46" t="s">
        <v>64</v>
      </c>
      <c r="C670" s="46" t="s">
        <v>353</v>
      </c>
      <c r="D670" s="148" t="s">
        <v>764</v>
      </c>
      <c r="E670" s="149"/>
      <c r="F670" s="149"/>
      <c r="G670" s="149"/>
      <c r="H670" s="149"/>
      <c r="I670" s="149"/>
      <c r="J670" s="46" t="s">
        <v>975</v>
      </c>
      <c r="K670" s="78">
        <v>44.805</v>
      </c>
      <c r="L670" s="54">
        <v>0</v>
      </c>
      <c r="M670" s="66">
        <f>K670*L670</f>
        <v>0</v>
      </c>
      <c r="N670" s="17"/>
      <c r="Z670" s="33">
        <f>IF(AQ670="5",BJ670,0)</f>
        <v>0</v>
      </c>
      <c r="AB670" s="33">
        <f>IF(AQ670="1",BH670,0)</f>
        <v>0</v>
      </c>
      <c r="AC670" s="33">
        <f>IF(AQ670="1",BI670,0)</f>
        <v>0</v>
      </c>
      <c r="AD670" s="33">
        <f>IF(AQ670="7",BH670,0)</f>
        <v>0</v>
      </c>
      <c r="AE670" s="33">
        <f>IF(AQ670="7",BI670,0)</f>
        <v>0</v>
      </c>
      <c r="AF670" s="33">
        <f>IF(AQ670="2",BH670,0)</f>
        <v>0</v>
      </c>
      <c r="AG670" s="33">
        <f>IF(AQ670="2",BI670,0)</f>
        <v>0</v>
      </c>
      <c r="AH670" s="33">
        <f>IF(AQ670="0",BJ670,0)</f>
        <v>0</v>
      </c>
      <c r="AI670" s="58" t="s">
        <v>64</v>
      </c>
      <c r="AJ670" s="54">
        <f>IF(AN670=0,M670,0)</f>
        <v>0</v>
      </c>
      <c r="AK670" s="54">
        <f>IF(AN670=15,M670,0)</f>
        <v>0</v>
      </c>
      <c r="AL670" s="54">
        <f>IF(AN670=21,M670,0)</f>
        <v>0</v>
      </c>
      <c r="AN670" s="33">
        <v>21</v>
      </c>
      <c r="AO670" s="33">
        <f>L670*1</f>
        <v>0</v>
      </c>
      <c r="AP670" s="33">
        <f>L670*(1-1)</f>
        <v>0</v>
      </c>
      <c r="AQ670" s="60" t="s">
        <v>80</v>
      </c>
      <c r="AV670" s="33">
        <f>AW670+AX670</f>
        <v>0</v>
      </c>
      <c r="AW670" s="33">
        <f>K670*AO670</f>
        <v>0</v>
      </c>
      <c r="AX670" s="33">
        <f>K670*AP670</f>
        <v>0</v>
      </c>
      <c r="AY670" s="61" t="s">
        <v>1007</v>
      </c>
      <c r="AZ670" s="61" t="s">
        <v>1035</v>
      </c>
      <c r="BA670" s="58" t="s">
        <v>1040</v>
      </c>
      <c r="BC670" s="33">
        <f>AW670+AX670</f>
        <v>0</v>
      </c>
      <c r="BD670" s="33">
        <f>L670/(100-BE670)*100</f>
        <v>0</v>
      </c>
      <c r="BE670" s="33">
        <v>0</v>
      </c>
      <c r="BF670" s="33">
        <f>670</f>
        <v>670</v>
      </c>
      <c r="BH670" s="54">
        <f>K670*AO670</f>
        <v>0</v>
      </c>
      <c r="BI670" s="54">
        <f>K670*AP670</f>
        <v>0</v>
      </c>
      <c r="BJ670" s="54">
        <f>K670*L670</f>
        <v>0</v>
      </c>
      <c r="BK670" s="54" t="s">
        <v>1047</v>
      </c>
      <c r="BL670" s="33">
        <v>91</v>
      </c>
    </row>
    <row r="671" spans="1:14" ht="12.75">
      <c r="A671" s="17"/>
      <c r="D671" s="143" t="s">
        <v>940</v>
      </c>
      <c r="E671" s="144"/>
      <c r="F671" s="144"/>
      <c r="G671" s="144"/>
      <c r="H671" s="144"/>
      <c r="I671" s="144"/>
      <c r="K671" s="75">
        <v>43.5</v>
      </c>
      <c r="M671" s="14"/>
      <c r="N671" s="17"/>
    </row>
    <row r="672" spans="1:14" ht="12.75">
      <c r="A672" s="17"/>
      <c r="D672" s="143" t="s">
        <v>941</v>
      </c>
      <c r="E672" s="144"/>
      <c r="F672" s="144"/>
      <c r="G672" s="144"/>
      <c r="H672" s="144"/>
      <c r="I672" s="144"/>
      <c r="K672" s="75">
        <v>1.305</v>
      </c>
      <c r="M672" s="14"/>
      <c r="N672" s="17"/>
    </row>
    <row r="673" spans="1:64" ht="12.75">
      <c r="A673" s="39" t="s">
        <v>243</v>
      </c>
      <c r="B673" s="46" t="s">
        <v>64</v>
      </c>
      <c r="C673" s="46" t="s">
        <v>381</v>
      </c>
      <c r="D673" s="148" t="s">
        <v>838</v>
      </c>
      <c r="E673" s="149"/>
      <c r="F673" s="149"/>
      <c r="G673" s="149"/>
      <c r="H673" s="149"/>
      <c r="I673" s="149"/>
      <c r="J673" s="46" t="s">
        <v>975</v>
      </c>
      <c r="K673" s="78">
        <v>12.669</v>
      </c>
      <c r="L673" s="54">
        <v>0</v>
      </c>
      <c r="M673" s="66">
        <f>K673*L673</f>
        <v>0</v>
      </c>
      <c r="N673" s="17"/>
      <c r="Z673" s="33">
        <f>IF(AQ673="5",BJ673,0)</f>
        <v>0</v>
      </c>
      <c r="AB673" s="33">
        <f>IF(AQ673="1",BH673,0)</f>
        <v>0</v>
      </c>
      <c r="AC673" s="33">
        <f>IF(AQ673="1",BI673,0)</f>
        <v>0</v>
      </c>
      <c r="AD673" s="33">
        <f>IF(AQ673="7",BH673,0)</f>
        <v>0</v>
      </c>
      <c r="AE673" s="33">
        <f>IF(AQ673="7",BI673,0)</f>
        <v>0</v>
      </c>
      <c r="AF673" s="33">
        <f>IF(AQ673="2",BH673,0)</f>
        <v>0</v>
      </c>
      <c r="AG673" s="33">
        <f>IF(AQ673="2",BI673,0)</f>
        <v>0</v>
      </c>
      <c r="AH673" s="33">
        <f>IF(AQ673="0",BJ673,0)</f>
        <v>0</v>
      </c>
      <c r="AI673" s="58" t="s">
        <v>64</v>
      </c>
      <c r="AJ673" s="54">
        <f>IF(AN673=0,M673,0)</f>
        <v>0</v>
      </c>
      <c r="AK673" s="54">
        <f>IF(AN673=15,M673,0)</f>
        <v>0</v>
      </c>
      <c r="AL673" s="54">
        <f>IF(AN673=21,M673,0)</f>
        <v>0</v>
      </c>
      <c r="AN673" s="33">
        <v>21</v>
      </c>
      <c r="AO673" s="33">
        <f>L673*1</f>
        <v>0</v>
      </c>
      <c r="AP673" s="33">
        <f>L673*(1-1)</f>
        <v>0</v>
      </c>
      <c r="AQ673" s="60" t="s">
        <v>80</v>
      </c>
      <c r="AV673" s="33">
        <f>AW673+AX673</f>
        <v>0</v>
      </c>
      <c r="AW673" s="33">
        <f>K673*AO673</f>
        <v>0</v>
      </c>
      <c r="AX673" s="33">
        <f>K673*AP673</f>
        <v>0</v>
      </c>
      <c r="AY673" s="61" t="s">
        <v>1007</v>
      </c>
      <c r="AZ673" s="61" t="s">
        <v>1035</v>
      </c>
      <c r="BA673" s="58" t="s">
        <v>1040</v>
      </c>
      <c r="BC673" s="33">
        <f>AW673+AX673</f>
        <v>0</v>
      </c>
      <c r="BD673" s="33">
        <f>L673/(100-BE673)*100</f>
        <v>0</v>
      </c>
      <c r="BE673" s="33">
        <v>0</v>
      </c>
      <c r="BF673" s="33">
        <f>673</f>
        <v>673</v>
      </c>
      <c r="BH673" s="54">
        <f>K673*AO673</f>
        <v>0</v>
      </c>
      <c r="BI673" s="54">
        <f>K673*AP673</f>
        <v>0</v>
      </c>
      <c r="BJ673" s="54">
        <f>K673*L673</f>
        <v>0</v>
      </c>
      <c r="BK673" s="54" t="s">
        <v>1047</v>
      </c>
      <c r="BL673" s="33">
        <v>91</v>
      </c>
    </row>
    <row r="674" spans="1:14" ht="12.75">
      <c r="A674" s="17"/>
      <c r="D674" s="143" t="s">
        <v>942</v>
      </c>
      <c r="E674" s="144"/>
      <c r="F674" s="144"/>
      <c r="G674" s="144"/>
      <c r="H674" s="144"/>
      <c r="I674" s="144"/>
      <c r="K674" s="75">
        <v>12.3</v>
      </c>
      <c r="M674" s="14"/>
      <c r="N674" s="17"/>
    </row>
    <row r="675" spans="1:14" ht="12.75">
      <c r="A675" s="17"/>
      <c r="D675" s="143" t="s">
        <v>943</v>
      </c>
      <c r="E675" s="144"/>
      <c r="F675" s="144"/>
      <c r="G675" s="144"/>
      <c r="H675" s="144"/>
      <c r="I675" s="144"/>
      <c r="K675" s="75">
        <v>0.369</v>
      </c>
      <c r="M675" s="14"/>
      <c r="N675" s="17"/>
    </row>
    <row r="676" spans="1:64" ht="12.75">
      <c r="A676" s="39" t="s">
        <v>244</v>
      </c>
      <c r="B676" s="46" t="s">
        <v>64</v>
      </c>
      <c r="C676" s="46" t="s">
        <v>414</v>
      </c>
      <c r="D676" s="148" t="s">
        <v>944</v>
      </c>
      <c r="E676" s="149"/>
      <c r="F676" s="149"/>
      <c r="G676" s="149"/>
      <c r="H676" s="149"/>
      <c r="I676" s="149"/>
      <c r="J676" s="46" t="s">
        <v>975</v>
      </c>
      <c r="K676" s="78">
        <v>1.03</v>
      </c>
      <c r="L676" s="54">
        <v>0</v>
      </c>
      <c r="M676" s="66">
        <f>K676*L676</f>
        <v>0</v>
      </c>
      <c r="N676" s="17"/>
      <c r="Z676" s="33">
        <f>IF(AQ676="5",BJ676,0)</f>
        <v>0</v>
      </c>
      <c r="AB676" s="33">
        <f>IF(AQ676="1",BH676,0)</f>
        <v>0</v>
      </c>
      <c r="AC676" s="33">
        <f>IF(AQ676="1",BI676,0)</f>
        <v>0</v>
      </c>
      <c r="AD676" s="33">
        <f>IF(AQ676="7",BH676,0)</f>
        <v>0</v>
      </c>
      <c r="AE676" s="33">
        <f>IF(AQ676="7",BI676,0)</f>
        <v>0</v>
      </c>
      <c r="AF676" s="33">
        <f>IF(AQ676="2",BH676,0)</f>
        <v>0</v>
      </c>
      <c r="AG676" s="33">
        <f>IF(AQ676="2",BI676,0)</f>
        <v>0</v>
      </c>
      <c r="AH676" s="33">
        <f>IF(AQ676="0",BJ676,0)</f>
        <v>0</v>
      </c>
      <c r="AI676" s="58" t="s">
        <v>64</v>
      </c>
      <c r="AJ676" s="54">
        <f>IF(AN676=0,M676,0)</f>
        <v>0</v>
      </c>
      <c r="AK676" s="54">
        <f>IF(AN676=15,M676,0)</f>
        <v>0</v>
      </c>
      <c r="AL676" s="54">
        <f>IF(AN676=21,M676,0)</f>
        <v>0</v>
      </c>
      <c r="AN676" s="33">
        <v>21</v>
      </c>
      <c r="AO676" s="33">
        <f>L676*1</f>
        <v>0</v>
      </c>
      <c r="AP676" s="33">
        <f>L676*(1-1)</f>
        <v>0</v>
      </c>
      <c r="AQ676" s="60" t="s">
        <v>80</v>
      </c>
      <c r="AV676" s="33">
        <f>AW676+AX676</f>
        <v>0</v>
      </c>
      <c r="AW676" s="33">
        <f>K676*AO676</f>
        <v>0</v>
      </c>
      <c r="AX676" s="33">
        <f>K676*AP676</f>
        <v>0</v>
      </c>
      <c r="AY676" s="61" t="s">
        <v>1007</v>
      </c>
      <c r="AZ676" s="61" t="s">
        <v>1035</v>
      </c>
      <c r="BA676" s="58" t="s">
        <v>1040</v>
      </c>
      <c r="BC676" s="33">
        <f>AW676+AX676</f>
        <v>0</v>
      </c>
      <c r="BD676" s="33">
        <f>L676/(100-BE676)*100</f>
        <v>0</v>
      </c>
      <c r="BE676" s="33">
        <v>0</v>
      </c>
      <c r="BF676" s="33">
        <f>676</f>
        <v>676</v>
      </c>
      <c r="BH676" s="54">
        <f>K676*AO676</f>
        <v>0</v>
      </c>
      <c r="BI676" s="54">
        <f>K676*AP676</f>
        <v>0</v>
      </c>
      <c r="BJ676" s="54">
        <f>K676*L676</f>
        <v>0</v>
      </c>
      <c r="BK676" s="54" t="s">
        <v>1047</v>
      </c>
      <c r="BL676" s="33">
        <v>91</v>
      </c>
    </row>
    <row r="677" spans="1:14" ht="12.75">
      <c r="A677" s="17"/>
      <c r="D677" s="143" t="s">
        <v>663</v>
      </c>
      <c r="E677" s="144"/>
      <c r="F677" s="144"/>
      <c r="G677" s="144"/>
      <c r="H677" s="144"/>
      <c r="I677" s="144"/>
      <c r="K677" s="75">
        <v>1</v>
      </c>
      <c r="M677" s="14"/>
      <c r="N677" s="17"/>
    </row>
    <row r="678" spans="1:14" ht="12.75">
      <c r="A678" s="17"/>
      <c r="D678" s="143" t="s">
        <v>699</v>
      </c>
      <c r="E678" s="144"/>
      <c r="F678" s="144"/>
      <c r="G678" s="144"/>
      <c r="H678" s="144"/>
      <c r="I678" s="144"/>
      <c r="K678" s="75">
        <v>0.03</v>
      </c>
      <c r="M678" s="14"/>
      <c r="N678" s="17"/>
    </row>
    <row r="679" spans="1:64" ht="12.75">
      <c r="A679" s="39" t="s">
        <v>245</v>
      </c>
      <c r="B679" s="46" t="s">
        <v>64</v>
      </c>
      <c r="C679" s="46" t="s">
        <v>415</v>
      </c>
      <c r="D679" s="148" t="s">
        <v>945</v>
      </c>
      <c r="E679" s="149"/>
      <c r="F679" s="149"/>
      <c r="G679" s="149"/>
      <c r="H679" s="149"/>
      <c r="I679" s="149"/>
      <c r="J679" s="46" t="s">
        <v>975</v>
      </c>
      <c r="K679" s="78">
        <v>1.03</v>
      </c>
      <c r="L679" s="54">
        <v>0</v>
      </c>
      <c r="M679" s="66">
        <f>K679*L679</f>
        <v>0</v>
      </c>
      <c r="N679" s="17"/>
      <c r="Z679" s="33">
        <f>IF(AQ679="5",BJ679,0)</f>
        <v>0</v>
      </c>
      <c r="AB679" s="33">
        <f>IF(AQ679="1",BH679,0)</f>
        <v>0</v>
      </c>
      <c r="AC679" s="33">
        <f>IF(AQ679="1",BI679,0)</f>
        <v>0</v>
      </c>
      <c r="AD679" s="33">
        <f>IF(AQ679="7",BH679,0)</f>
        <v>0</v>
      </c>
      <c r="AE679" s="33">
        <f>IF(AQ679="7",BI679,0)</f>
        <v>0</v>
      </c>
      <c r="AF679" s="33">
        <f>IF(AQ679="2",BH679,0)</f>
        <v>0</v>
      </c>
      <c r="AG679" s="33">
        <f>IF(AQ679="2",BI679,0)</f>
        <v>0</v>
      </c>
      <c r="AH679" s="33">
        <f>IF(AQ679="0",BJ679,0)</f>
        <v>0</v>
      </c>
      <c r="AI679" s="58" t="s">
        <v>64</v>
      </c>
      <c r="AJ679" s="54">
        <f>IF(AN679=0,M679,0)</f>
        <v>0</v>
      </c>
      <c r="AK679" s="54">
        <f>IF(AN679=15,M679,0)</f>
        <v>0</v>
      </c>
      <c r="AL679" s="54">
        <f>IF(AN679=21,M679,0)</f>
        <v>0</v>
      </c>
      <c r="AN679" s="33">
        <v>21</v>
      </c>
      <c r="AO679" s="33">
        <f>L679*1</f>
        <v>0</v>
      </c>
      <c r="AP679" s="33">
        <f>L679*(1-1)</f>
        <v>0</v>
      </c>
      <c r="AQ679" s="60" t="s">
        <v>80</v>
      </c>
      <c r="AV679" s="33">
        <f>AW679+AX679</f>
        <v>0</v>
      </c>
      <c r="AW679" s="33">
        <f>K679*AO679</f>
        <v>0</v>
      </c>
      <c r="AX679" s="33">
        <f>K679*AP679</f>
        <v>0</v>
      </c>
      <c r="AY679" s="61" t="s">
        <v>1007</v>
      </c>
      <c r="AZ679" s="61" t="s">
        <v>1035</v>
      </c>
      <c r="BA679" s="58" t="s">
        <v>1040</v>
      </c>
      <c r="BC679" s="33">
        <f>AW679+AX679</f>
        <v>0</v>
      </c>
      <c r="BD679" s="33">
        <f>L679/(100-BE679)*100</f>
        <v>0</v>
      </c>
      <c r="BE679" s="33">
        <v>0</v>
      </c>
      <c r="BF679" s="33">
        <f>679</f>
        <v>679</v>
      </c>
      <c r="BH679" s="54">
        <f>K679*AO679</f>
        <v>0</v>
      </c>
      <c r="BI679" s="54">
        <f>K679*AP679</f>
        <v>0</v>
      </c>
      <c r="BJ679" s="54">
        <f>K679*L679</f>
        <v>0</v>
      </c>
      <c r="BK679" s="54" t="s">
        <v>1047</v>
      </c>
      <c r="BL679" s="33">
        <v>91</v>
      </c>
    </row>
    <row r="680" spans="1:14" ht="12.75">
      <c r="A680" s="17"/>
      <c r="D680" s="143" t="s">
        <v>663</v>
      </c>
      <c r="E680" s="144"/>
      <c r="F680" s="144"/>
      <c r="G680" s="144"/>
      <c r="H680" s="144"/>
      <c r="I680" s="144"/>
      <c r="K680" s="75">
        <v>1</v>
      </c>
      <c r="M680" s="14"/>
      <c r="N680" s="17"/>
    </row>
    <row r="681" spans="1:14" ht="12.75">
      <c r="A681" s="17"/>
      <c r="D681" s="143" t="s">
        <v>699</v>
      </c>
      <c r="E681" s="144"/>
      <c r="F681" s="144"/>
      <c r="G681" s="144"/>
      <c r="H681" s="144"/>
      <c r="I681" s="144"/>
      <c r="K681" s="75">
        <v>0.03</v>
      </c>
      <c r="M681" s="14"/>
      <c r="N681" s="17"/>
    </row>
    <row r="682" spans="1:64" ht="12.75">
      <c r="A682" s="38" t="s">
        <v>246</v>
      </c>
      <c r="B682" s="45" t="s">
        <v>64</v>
      </c>
      <c r="C682" s="45" t="s">
        <v>416</v>
      </c>
      <c r="D682" s="141" t="s">
        <v>946</v>
      </c>
      <c r="E682" s="142"/>
      <c r="F682" s="142"/>
      <c r="G682" s="142"/>
      <c r="H682" s="142"/>
      <c r="I682" s="142"/>
      <c r="J682" s="45" t="s">
        <v>968</v>
      </c>
      <c r="K682" s="74">
        <v>11</v>
      </c>
      <c r="L682" s="53">
        <v>0</v>
      </c>
      <c r="M682" s="65">
        <f>K682*L682</f>
        <v>0</v>
      </c>
      <c r="N682" s="17"/>
      <c r="Z682" s="33">
        <f>IF(AQ682="5",BJ682,0)</f>
        <v>0</v>
      </c>
      <c r="AB682" s="33">
        <f>IF(AQ682="1",BH682,0)</f>
        <v>0</v>
      </c>
      <c r="AC682" s="33">
        <f>IF(AQ682="1",BI682,0)</f>
        <v>0</v>
      </c>
      <c r="AD682" s="33">
        <f>IF(AQ682="7",BH682,0)</f>
        <v>0</v>
      </c>
      <c r="AE682" s="33">
        <f>IF(AQ682="7",BI682,0)</f>
        <v>0</v>
      </c>
      <c r="AF682" s="33">
        <f>IF(AQ682="2",BH682,0)</f>
        <v>0</v>
      </c>
      <c r="AG682" s="33">
        <f>IF(AQ682="2",BI682,0)</f>
        <v>0</v>
      </c>
      <c r="AH682" s="33">
        <f>IF(AQ682="0",BJ682,0)</f>
        <v>0</v>
      </c>
      <c r="AI682" s="58" t="s">
        <v>64</v>
      </c>
      <c r="AJ682" s="53">
        <f>IF(AN682=0,M682,0)</f>
        <v>0</v>
      </c>
      <c r="AK682" s="53">
        <f>IF(AN682=15,M682,0)</f>
        <v>0</v>
      </c>
      <c r="AL682" s="53">
        <f>IF(AN682=21,M682,0)</f>
        <v>0</v>
      </c>
      <c r="AN682" s="33">
        <v>21</v>
      </c>
      <c r="AO682" s="33">
        <f>L682*0.602838709677419</f>
        <v>0</v>
      </c>
      <c r="AP682" s="33">
        <f>L682*(1-0.602838709677419)</f>
        <v>0</v>
      </c>
      <c r="AQ682" s="59" t="s">
        <v>80</v>
      </c>
      <c r="AV682" s="33">
        <f>AW682+AX682</f>
        <v>0</v>
      </c>
      <c r="AW682" s="33">
        <f>K682*AO682</f>
        <v>0</v>
      </c>
      <c r="AX682" s="33">
        <f>K682*AP682</f>
        <v>0</v>
      </c>
      <c r="AY682" s="61" t="s">
        <v>1007</v>
      </c>
      <c r="AZ682" s="61" t="s">
        <v>1035</v>
      </c>
      <c r="BA682" s="58" t="s">
        <v>1040</v>
      </c>
      <c r="BC682" s="33">
        <f>AW682+AX682</f>
        <v>0</v>
      </c>
      <c r="BD682" s="33">
        <f>L682/(100-BE682)*100</f>
        <v>0</v>
      </c>
      <c r="BE682" s="33">
        <v>0</v>
      </c>
      <c r="BF682" s="33">
        <f>682</f>
        <v>682</v>
      </c>
      <c r="BH682" s="53">
        <f>K682*AO682</f>
        <v>0</v>
      </c>
      <c r="BI682" s="53">
        <f>K682*AP682</f>
        <v>0</v>
      </c>
      <c r="BJ682" s="53">
        <f>K682*L682</f>
        <v>0</v>
      </c>
      <c r="BK682" s="53" t="s">
        <v>1046</v>
      </c>
      <c r="BL682" s="33">
        <v>91</v>
      </c>
    </row>
    <row r="683" spans="1:14" ht="12.75">
      <c r="A683" s="17"/>
      <c r="D683" s="143" t="s">
        <v>947</v>
      </c>
      <c r="E683" s="144"/>
      <c r="F683" s="144"/>
      <c r="G683" s="144"/>
      <c r="H683" s="144"/>
      <c r="I683" s="144"/>
      <c r="K683" s="75">
        <v>11</v>
      </c>
      <c r="M683" s="14"/>
      <c r="N683" s="17"/>
    </row>
    <row r="684" spans="1:47" ht="12.75">
      <c r="A684" s="37"/>
      <c r="B684" s="44" t="s">
        <v>64</v>
      </c>
      <c r="C684" s="44" t="s">
        <v>364</v>
      </c>
      <c r="D684" s="139" t="s">
        <v>789</v>
      </c>
      <c r="E684" s="140"/>
      <c r="F684" s="140"/>
      <c r="G684" s="140"/>
      <c r="H684" s="140"/>
      <c r="I684" s="140"/>
      <c r="J684" s="50" t="s">
        <v>59</v>
      </c>
      <c r="K684" s="50" t="s">
        <v>59</v>
      </c>
      <c r="L684" s="50" t="s">
        <v>59</v>
      </c>
      <c r="M684" s="64">
        <f>SUM(M685:M696)</f>
        <v>0</v>
      </c>
      <c r="N684" s="17"/>
      <c r="AI684" s="58" t="s">
        <v>64</v>
      </c>
      <c r="AS684" s="68">
        <f>SUM(AJ685:AJ696)</f>
        <v>0</v>
      </c>
      <c r="AT684" s="68">
        <f>SUM(AK685:AK696)</f>
        <v>0</v>
      </c>
      <c r="AU684" s="68">
        <f>SUM(AL685:AL696)</f>
        <v>0</v>
      </c>
    </row>
    <row r="685" spans="1:64" ht="12.75">
      <c r="A685" s="38" t="s">
        <v>247</v>
      </c>
      <c r="B685" s="45" t="s">
        <v>64</v>
      </c>
      <c r="C685" s="45" t="s">
        <v>365</v>
      </c>
      <c r="D685" s="141" t="s">
        <v>790</v>
      </c>
      <c r="E685" s="142"/>
      <c r="F685" s="142"/>
      <c r="G685" s="142"/>
      <c r="H685" s="142"/>
      <c r="I685" s="142"/>
      <c r="J685" s="45" t="s">
        <v>974</v>
      </c>
      <c r="K685" s="74">
        <v>35.57</v>
      </c>
      <c r="L685" s="53">
        <v>0</v>
      </c>
      <c r="M685" s="65">
        <f>K685*L685</f>
        <v>0</v>
      </c>
      <c r="N685" s="17"/>
      <c r="Z685" s="33">
        <f>IF(AQ685="5",BJ685,0)</f>
        <v>0</v>
      </c>
      <c r="AB685" s="33">
        <f>IF(AQ685="1",BH685,0)</f>
        <v>0</v>
      </c>
      <c r="AC685" s="33">
        <f>IF(AQ685="1",BI685,0)</f>
        <v>0</v>
      </c>
      <c r="AD685" s="33">
        <f>IF(AQ685="7",BH685,0)</f>
        <v>0</v>
      </c>
      <c r="AE685" s="33">
        <f>IF(AQ685="7",BI685,0)</f>
        <v>0</v>
      </c>
      <c r="AF685" s="33">
        <f>IF(AQ685="2",BH685,0)</f>
        <v>0</v>
      </c>
      <c r="AG685" s="33">
        <f>IF(AQ685="2",BI685,0)</f>
        <v>0</v>
      </c>
      <c r="AH685" s="33">
        <f>IF(AQ685="0",BJ685,0)</f>
        <v>0</v>
      </c>
      <c r="AI685" s="58" t="s">
        <v>64</v>
      </c>
      <c r="AJ685" s="53">
        <f>IF(AN685=0,M685,0)</f>
        <v>0</v>
      </c>
      <c r="AK685" s="53">
        <f>IF(AN685=15,M685,0)</f>
        <v>0</v>
      </c>
      <c r="AL685" s="53">
        <f>IF(AN685=21,M685,0)</f>
        <v>0</v>
      </c>
      <c r="AN685" s="33">
        <v>21</v>
      </c>
      <c r="AO685" s="33">
        <f>L685*0.0100452105330111</f>
        <v>0</v>
      </c>
      <c r="AP685" s="33">
        <f>L685*(1-0.0100452105330111)</f>
        <v>0</v>
      </c>
      <c r="AQ685" s="59" t="s">
        <v>84</v>
      </c>
      <c r="AV685" s="33">
        <f>AW685+AX685</f>
        <v>0</v>
      </c>
      <c r="AW685" s="33">
        <f>K685*AO685</f>
        <v>0</v>
      </c>
      <c r="AX685" s="33">
        <f>K685*AP685</f>
        <v>0</v>
      </c>
      <c r="AY685" s="61" t="s">
        <v>1011</v>
      </c>
      <c r="AZ685" s="61" t="s">
        <v>1035</v>
      </c>
      <c r="BA685" s="58" t="s">
        <v>1040</v>
      </c>
      <c r="BC685" s="33">
        <f>AW685+AX685</f>
        <v>0</v>
      </c>
      <c r="BD685" s="33">
        <f>L685/(100-BE685)*100</f>
        <v>0</v>
      </c>
      <c r="BE685" s="33">
        <v>0</v>
      </c>
      <c r="BF685" s="33">
        <f>685</f>
        <v>685</v>
      </c>
      <c r="BH685" s="53">
        <f>K685*AO685</f>
        <v>0</v>
      </c>
      <c r="BI685" s="53">
        <f>K685*AP685</f>
        <v>0</v>
      </c>
      <c r="BJ685" s="53">
        <f>K685*L685</f>
        <v>0</v>
      </c>
      <c r="BK685" s="53" t="s">
        <v>1046</v>
      </c>
      <c r="BL685" s="33" t="s">
        <v>364</v>
      </c>
    </row>
    <row r="686" spans="1:14" ht="12.75">
      <c r="A686" s="17"/>
      <c r="D686" s="143" t="s">
        <v>948</v>
      </c>
      <c r="E686" s="144"/>
      <c r="F686" s="144"/>
      <c r="G686" s="144"/>
      <c r="H686" s="144"/>
      <c r="I686" s="144"/>
      <c r="K686" s="75">
        <v>22.88</v>
      </c>
      <c r="M686" s="14"/>
      <c r="N686" s="17"/>
    </row>
    <row r="687" spans="1:14" ht="12.75">
      <c r="A687" s="17"/>
      <c r="D687" s="143" t="s">
        <v>949</v>
      </c>
      <c r="E687" s="144"/>
      <c r="F687" s="144"/>
      <c r="G687" s="144"/>
      <c r="H687" s="144"/>
      <c r="I687" s="144"/>
      <c r="K687" s="75">
        <v>12.69</v>
      </c>
      <c r="M687" s="14"/>
      <c r="N687" s="17"/>
    </row>
    <row r="688" spans="1:64" ht="12.75">
      <c r="A688" s="38" t="s">
        <v>248</v>
      </c>
      <c r="B688" s="45" t="s">
        <v>64</v>
      </c>
      <c r="C688" s="45" t="s">
        <v>366</v>
      </c>
      <c r="D688" s="141" t="s">
        <v>792</v>
      </c>
      <c r="E688" s="142"/>
      <c r="F688" s="142"/>
      <c r="G688" s="142"/>
      <c r="H688" s="142"/>
      <c r="I688" s="142"/>
      <c r="J688" s="45" t="s">
        <v>974</v>
      </c>
      <c r="K688" s="74">
        <v>696.4</v>
      </c>
      <c r="L688" s="53">
        <v>0</v>
      </c>
      <c r="M688" s="65">
        <f>K688*L688</f>
        <v>0</v>
      </c>
      <c r="N688" s="17"/>
      <c r="Z688" s="33">
        <f>IF(AQ688="5",BJ688,0)</f>
        <v>0</v>
      </c>
      <c r="AB688" s="33">
        <f>IF(AQ688="1",BH688,0)</f>
        <v>0</v>
      </c>
      <c r="AC688" s="33">
        <f>IF(AQ688="1",BI688,0)</f>
        <v>0</v>
      </c>
      <c r="AD688" s="33">
        <f>IF(AQ688="7",BH688,0)</f>
        <v>0</v>
      </c>
      <c r="AE688" s="33">
        <f>IF(AQ688="7",BI688,0)</f>
        <v>0</v>
      </c>
      <c r="AF688" s="33">
        <f>IF(AQ688="2",BH688,0)</f>
        <v>0</v>
      </c>
      <c r="AG688" s="33">
        <f>IF(AQ688="2",BI688,0)</f>
        <v>0</v>
      </c>
      <c r="AH688" s="33">
        <f>IF(AQ688="0",BJ688,0)</f>
        <v>0</v>
      </c>
      <c r="AI688" s="58" t="s">
        <v>64</v>
      </c>
      <c r="AJ688" s="53">
        <f>IF(AN688=0,M688,0)</f>
        <v>0</v>
      </c>
      <c r="AK688" s="53">
        <f>IF(AN688=15,M688,0)</f>
        <v>0</v>
      </c>
      <c r="AL688" s="53">
        <f>IF(AN688=21,M688,0)</f>
        <v>0</v>
      </c>
      <c r="AN688" s="33">
        <v>21</v>
      </c>
      <c r="AO688" s="33">
        <f>L688*0</f>
        <v>0</v>
      </c>
      <c r="AP688" s="33">
        <f>L688*(1-0)</f>
        <v>0</v>
      </c>
      <c r="AQ688" s="59" t="s">
        <v>84</v>
      </c>
      <c r="AV688" s="33">
        <f>AW688+AX688</f>
        <v>0</v>
      </c>
      <c r="AW688" s="33">
        <f>K688*AO688</f>
        <v>0</v>
      </c>
      <c r="AX688" s="33">
        <f>K688*AP688</f>
        <v>0</v>
      </c>
      <c r="AY688" s="61" t="s">
        <v>1011</v>
      </c>
      <c r="AZ688" s="61" t="s">
        <v>1035</v>
      </c>
      <c r="BA688" s="58" t="s">
        <v>1040</v>
      </c>
      <c r="BC688" s="33">
        <f>AW688+AX688</f>
        <v>0</v>
      </c>
      <c r="BD688" s="33">
        <f>L688/(100-BE688)*100</f>
        <v>0</v>
      </c>
      <c r="BE688" s="33">
        <v>0</v>
      </c>
      <c r="BF688" s="33">
        <f>688</f>
        <v>688</v>
      </c>
      <c r="BH688" s="53">
        <f>K688*AO688</f>
        <v>0</v>
      </c>
      <c r="BI688" s="53">
        <f>K688*AP688</f>
        <v>0</v>
      </c>
      <c r="BJ688" s="53">
        <f>K688*L688</f>
        <v>0</v>
      </c>
      <c r="BK688" s="53" t="s">
        <v>1046</v>
      </c>
      <c r="BL688" s="33" t="s">
        <v>364</v>
      </c>
    </row>
    <row r="689" spans="1:14" ht="12.75">
      <c r="A689" s="17"/>
      <c r="D689" s="143" t="s">
        <v>950</v>
      </c>
      <c r="E689" s="144"/>
      <c r="F689" s="144"/>
      <c r="G689" s="144"/>
      <c r="H689" s="144"/>
      <c r="I689" s="144"/>
      <c r="K689" s="75">
        <v>101.52</v>
      </c>
      <c r="M689" s="14"/>
      <c r="N689" s="17"/>
    </row>
    <row r="690" spans="1:14" ht="12.75">
      <c r="A690" s="17"/>
      <c r="D690" s="143" t="s">
        <v>951</v>
      </c>
      <c r="E690" s="144"/>
      <c r="F690" s="144"/>
      <c r="G690" s="144"/>
      <c r="H690" s="144"/>
      <c r="I690" s="144"/>
      <c r="K690" s="75">
        <v>594.88</v>
      </c>
      <c r="M690" s="14"/>
      <c r="N690" s="17"/>
    </row>
    <row r="691" spans="1:64" ht="12.75">
      <c r="A691" s="38" t="s">
        <v>249</v>
      </c>
      <c r="B691" s="45" t="s">
        <v>64</v>
      </c>
      <c r="C691" s="45" t="s">
        <v>367</v>
      </c>
      <c r="D691" s="141" t="s">
        <v>794</v>
      </c>
      <c r="E691" s="142"/>
      <c r="F691" s="142"/>
      <c r="G691" s="142"/>
      <c r="H691" s="142"/>
      <c r="I691" s="142"/>
      <c r="J691" s="45" t="s">
        <v>974</v>
      </c>
      <c r="K691" s="74">
        <v>35.57</v>
      </c>
      <c r="L691" s="53">
        <v>0</v>
      </c>
      <c r="M691" s="65">
        <f>K691*L691</f>
        <v>0</v>
      </c>
      <c r="N691" s="17"/>
      <c r="Z691" s="33">
        <f>IF(AQ691="5",BJ691,0)</f>
        <v>0</v>
      </c>
      <c r="AB691" s="33">
        <f>IF(AQ691="1",BH691,0)</f>
        <v>0</v>
      </c>
      <c r="AC691" s="33">
        <f>IF(AQ691="1",BI691,0)</f>
        <v>0</v>
      </c>
      <c r="AD691" s="33">
        <f>IF(AQ691="7",BH691,0)</f>
        <v>0</v>
      </c>
      <c r="AE691" s="33">
        <f>IF(AQ691="7",BI691,0)</f>
        <v>0</v>
      </c>
      <c r="AF691" s="33">
        <f>IF(AQ691="2",BH691,0)</f>
        <v>0</v>
      </c>
      <c r="AG691" s="33">
        <f>IF(AQ691="2",BI691,0)</f>
        <v>0</v>
      </c>
      <c r="AH691" s="33">
        <f>IF(AQ691="0",BJ691,0)</f>
        <v>0</v>
      </c>
      <c r="AI691" s="58" t="s">
        <v>64</v>
      </c>
      <c r="AJ691" s="53">
        <f>IF(AN691=0,M691,0)</f>
        <v>0</v>
      </c>
      <c r="AK691" s="53">
        <f>IF(AN691=15,M691,0)</f>
        <v>0</v>
      </c>
      <c r="AL691" s="53">
        <f>IF(AN691=21,M691,0)</f>
        <v>0</v>
      </c>
      <c r="AN691" s="33">
        <v>21</v>
      </c>
      <c r="AO691" s="33">
        <f>L691*0</f>
        <v>0</v>
      </c>
      <c r="AP691" s="33">
        <f>L691*(1-0)</f>
        <v>0</v>
      </c>
      <c r="AQ691" s="59" t="s">
        <v>84</v>
      </c>
      <c r="AV691" s="33">
        <f>AW691+AX691</f>
        <v>0</v>
      </c>
      <c r="AW691" s="33">
        <f>K691*AO691</f>
        <v>0</v>
      </c>
      <c r="AX691" s="33">
        <f>K691*AP691</f>
        <v>0</v>
      </c>
      <c r="AY691" s="61" t="s">
        <v>1011</v>
      </c>
      <c r="AZ691" s="61" t="s">
        <v>1035</v>
      </c>
      <c r="BA691" s="58" t="s">
        <v>1040</v>
      </c>
      <c r="BC691" s="33">
        <f>AW691+AX691</f>
        <v>0</v>
      </c>
      <c r="BD691" s="33">
        <f>L691/(100-BE691)*100</f>
        <v>0</v>
      </c>
      <c r="BE691" s="33">
        <v>0</v>
      </c>
      <c r="BF691" s="33">
        <f>691</f>
        <v>691</v>
      </c>
      <c r="BH691" s="53">
        <f>K691*AO691</f>
        <v>0</v>
      </c>
      <c r="BI691" s="53">
        <f>K691*AP691</f>
        <v>0</v>
      </c>
      <c r="BJ691" s="53">
        <f>K691*L691</f>
        <v>0</v>
      </c>
      <c r="BK691" s="53" t="s">
        <v>1046</v>
      </c>
      <c r="BL691" s="33" t="s">
        <v>364</v>
      </c>
    </row>
    <row r="692" spans="1:14" ht="12.75">
      <c r="A692" s="17"/>
      <c r="D692" s="143" t="s">
        <v>952</v>
      </c>
      <c r="E692" s="144"/>
      <c r="F692" s="144"/>
      <c r="G692" s="144"/>
      <c r="H692" s="144"/>
      <c r="I692" s="144"/>
      <c r="K692" s="75">
        <v>35.57</v>
      </c>
      <c r="M692" s="14"/>
      <c r="N692" s="17"/>
    </row>
    <row r="693" spans="1:64" ht="12.75">
      <c r="A693" s="38" t="s">
        <v>250</v>
      </c>
      <c r="B693" s="45" t="s">
        <v>64</v>
      </c>
      <c r="C693" s="45" t="s">
        <v>368</v>
      </c>
      <c r="D693" s="141" t="s">
        <v>795</v>
      </c>
      <c r="E693" s="142"/>
      <c r="F693" s="142"/>
      <c r="G693" s="142"/>
      <c r="H693" s="142"/>
      <c r="I693" s="142"/>
      <c r="J693" s="45" t="s">
        <v>974</v>
      </c>
      <c r="K693" s="74">
        <v>35.57</v>
      </c>
      <c r="L693" s="53">
        <v>0</v>
      </c>
      <c r="M693" s="65">
        <f>K693*L693</f>
        <v>0</v>
      </c>
      <c r="N693" s="17"/>
      <c r="Z693" s="33">
        <f>IF(AQ693="5",BJ693,0)</f>
        <v>0</v>
      </c>
      <c r="AB693" s="33">
        <f>IF(AQ693="1",BH693,0)</f>
        <v>0</v>
      </c>
      <c r="AC693" s="33">
        <f>IF(AQ693="1",BI693,0)</f>
        <v>0</v>
      </c>
      <c r="AD693" s="33">
        <f>IF(AQ693="7",BH693,0)</f>
        <v>0</v>
      </c>
      <c r="AE693" s="33">
        <f>IF(AQ693="7",BI693,0)</f>
        <v>0</v>
      </c>
      <c r="AF693" s="33">
        <f>IF(AQ693="2",BH693,0)</f>
        <v>0</v>
      </c>
      <c r="AG693" s="33">
        <f>IF(AQ693="2",BI693,0)</f>
        <v>0</v>
      </c>
      <c r="AH693" s="33">
        <f>IF(AQ693="0",BJ693,0)</f>
        <v>0</v>
      </c>
      <c r="AI693" s="58" t="s">
        <v>64</v>
      </c>
      <c r="AJ693" s="53">
        <f>IF(AN693=0,M693,0)</f>
        <v>0</v>
      </c>
      <c r="AK693" s="53">
        <f>IF(AN693=15,M693,0)</f>
        <v>0</v>
      </c>
      <c r="AL693" s="53">
        <f>IF(AN693=21,M693,0)</f>
        <v>0</v>
      </c>
      <c r="AN693" s="33">
        <v>21</v>
      </c>
      <c r="AO693" s="33">
        <f>L693*0</f>
        <v>0</v>
      </c>
      <c r="AP693" s="33">
        <f>L693*(1-0)</f>
        <v>0</v>
      </c>
      <c r="AQ693" s="59" t="s">
        <v>84</v>
      </c>
      <c r="AV693" s="33">
        <f>AW693+AX693</f>
        <v>0</v>
      </c>
      <c r="AW693" s="33">
        <f>K693*AO693</f>
        <v>0</v>
      </c>
      <c r="AX693" s="33">
        <f>K693*AP693</f>
        <v>0</v>
      </c>
      <c r="AY693" s="61" t="s">
        <v>1011</v>
      </c>
      <c r="AZ693" s="61" t="s">
        <v>1035</v>
      </c>
      <c r="BA693" s="58" t="s">
        <v>1040</v>
      </c>
      <c r="BC693" s="33">
        <f>AW693+AX693</f>
        <v>0</v>
      </c>
      <c r="BD693" s="33">
        <f>L693/(100-BE693)*100</f>
        <v>0</v>
      </c>
      <c r="BE693" s="33">
        <v>0</v>
      </c>
      <c r="BF693" s="33">
        <f>693</f>
        <v>693</v>
      </c>
      <c r="BH693" s="53">
        <f>K693*AO693</f>
        <v>0</v>
      </c>
      <c r="BI693" s="53">
        <f>K693*AP693</f>
        <v>0</v>
      </c>
      <c r="BJ693" s="53">
        <f>K693*L693</f>
        <v>0</v>
      </c>
      <c r="BK693" s="53" t="s">
        <v>1046</v>
      </c>
      <c r="BL693" s="33" t="s">
        <v>364</v>
      </c>
    </row>
    <row r="694" spans="1:14" ht="12.75">
      <c r="A694" s="17"/>
      <c r="D694" s="143" t="s">
        <v>952</v>
      </c>
      <c r="E694" s="144"/>
      <c r="F694" s="144"/>
      <c r="G694" s="144"/>
      <c r="H694" s="144"/>
      <c r="I694" s="144"/>
      <c r="K694" s="75">
        <v>35.57</v>
      </c>
      <c r="M694" s="14"/>
      <c r="N694" s="17"/>
    </row>
    <row r="695" spans="1:64" ht="12.75">
      <c r="A695" s="38" t="s">
        <v>251</v>
      </c>
      <c r="B695" s="45" t="s">
        <v>64</v>
      </c>
      <c r="C695" s="45" t="s">
        <v>409</v>
      </c>
      <c r="D695" s="141" t="s">
        <v>927</v>
      </c>
      <c r="E695" s="142"/>
      <c r="F695" s="142"/>
      <c r="G695" s="142"/>
      <c r="H695" s="142"/>
      <c r="I695" s="142"/>
      <c r="J695" s="45" t="s">
        <v>974</v>
      </c>
      <c r="K695" s="74">
        <v>22.88</v>
      </c>
      <c r="L695" s="53">
        <v>0</v>
      </c>
      <c r="M695" s="65">
        <f>K695*L695</f>
        <v>0</v>
      </c>
      <c r="N695" s="17"/>
      <c r="Z695" s="33">
        <f>IF(AQ695="5",BJ695,0)</f>
        <v>0</v>
      </c>
      <c r="AB695" s="33">
        <f>IF(AQ695="1",BH695,0)</f>
        <v>0</v>
      </c>
      <c r="AC695" s="33">
        <f>IF(AQ695="1",BI695,0)</f>
        <v>0</v>
      </c>
      <c r="AD695" s="33">
        <f>IF(AQ695="7",BH695,0)</f>
        <v>0</v>
      </c>
      <c r="AE695" s="33">
        <f>IF(AQ695="7",BI695,0)</f>
        <v>0</v>
      </c>
      <c r="AF695" s="33">
        <f>IF(AQ695="2",BH695,0)</f>
        <v>0</v>
      </c>
      <c r="AG695" s="33">
        <f>IF(AQ695="2",BI695,0)</f>
        <v>0</v>
      </c>
      <c r="AH695" s="33">
        <f>IF(AQ695="0",BJ695,0)</f>
        <v>0</v>
      </c>
      <c r="AI695" s="58" t="s">
        <v>64</v>
      </c>
      <c r="AJ695" s="53">
        <f>IF(AN695=0,M695,0)</f>
        <v>0</v>
      </c>
      <c r="AK695" s="53">
        <f>IF(AN695=15,M695,0)</f>
        <v>0</v>
      </c>
      <c r="AL695" s="53">
        <f>IF(AN695=21,M695,0)</f>
        <v>0</v>
      </c>
      <c r="AN695" s="33">
        <v>21</v>
      </c>
      <c r="AO695" s="33">
        <f>L695*0</f>
        <v>0</v>
      </c>
      <c r="AP695" s="33">
        <f>L695*(1-0)</f>
        <v>0</v>
      </c>
      <c r="AQ695" s="59" t="s">
        <v>84</v>
      </c>
      <c r="AV695" s="33">
        <f>AW695+AX695</f>
        <v>0</v>
      </c>
      <c r="AW695" s="33">
        <f>K695*AO695</f>
        <v>0</v>
      </c>
      <c r="AX695" s="33">
        <f>K695*AP695</f>
        <v>0</v>
      </c>
      <c r="AY695" s="61" t="s">
        <v>1011</v>
      </c>
      <c r="AZ695" s="61" t="s">
        <v>1035</v>
      </c>
      <c r="BA695" s="58" t="s">
        <v>1040</v>
      </c>
      <c r="BC695" s="33">
        <f>AW695+AX695</f>
        <v>0</v>
      </c>
      <c r="BD695" s="33">
        <f>L695/(100-BE695)*100</f>
        <v>0</v>
      </c>
      <c r="BE695" s="33">
        <v>0</v>
      </c>
      <c r="BF695" s="33">
        <f>695</f>
        <v>695</v>
      </c>
      <c r="BH695" s="53">
        <f>K695*AO695</f>
        <v>0</v>
      </c>
      <c r="BI695" s="53">
        <f>K695*AP695</f>
        <v>0</v>
      </c>
      <c r="BJ695" s="53">
        <f>K695*L695</f>
        <v>0</v>
      </c>
      <c r="BK695" s="53" t="s">
        <v>1046</v>
      </c>
      <c r="BL695" s="33" t="s">
        <v>364</v>
      </c>
    </row>
    <row r="696" spans="1:64" ht="12.75">
      <c r="A696" s="38" t="s">
        <v>252</v>
      </c>
      <c r="B696" s="45" t="s">
        <v>64</v>
      </c>
      <c r="C696" s="45" t="s">
        <v>370</v>
      </c>
      <c r="D696" s="141" t="s">
        <v>799</v>
      </c>
      <c r="E696" s="142"/>
      <c r="F696" s="142"/>
      <c r="G696" s="142"/>
      <c r="H696" s="142"/>
      <c r="I696" s="142"/>
      <c r="J696" s="45" t="s">
        <v>974</v>
      </c>
      <c r="K696" s="74">
        <v>12.69</v>
      </c>
      <c r="L696" s="53">
        <v>0</v>
      </c>
      <c r="M696" s="65">
        <f>K696*L696</f>
        <v>0</v>
      </c>
      <c r="N696" s="17"/>
      <c r="Z696" s="33">
        <f>IF(AQ696="5",BJ696,0)</f>
        <v>0</v>
      </c>
      <c r="AB696" s="33">
        <f>IF(AQ696="1",BH696,0)</f>
        <v>0</v>
      </c>
      <c r="AC696" s="33">
        <f>IF(AQ696="1",BI696,0)</f>
        <v>0</v>
      </c>
      <c r="AD696" s="33">
        <f>IF(AQ696="7",BH696,0)</f>
        <v>0</v>
      </c>
      <c r="AE696" s="33">
        <f>IF(AQ696="7",BI696,0)</f>
        <v>0</v>
      </c>
      <c r="AF696" s="33">
        <f>IF(AQ696="2",BH696,0)</f>
        <v>0</v>
      </c>
      <c r="AG696" s="33">
        <f>IF(AQ696="2",BI696,0)</f>
        <v>0</v>
      </c>
      <c r="AH696" s="33">
        <f>IF(AQ696="0",BJ696,0)</f>
        <v>0</v>
      </c>
      <c r="AI696" s="58" t="s">
        <v>64</v>
      </c>
      <c r="AJ696" s="53">
        <f>IF(AN696=0,M696,0)</f>
        <v>0</v>
      </c>
      <c r="AK696" s="53">
        <f>IF(AN696=15,M696,0)</f>
        <v>0</v>
      </c>
      <c r="AL696" s="53">
        <f>IF(AN696=21,M696,0)</f>
        <v>0</v>
      </c>
      <c r="AN696" s="33">
        <v>21</v>
      </c>
      <c r="AO696" s="33">
        <f>L696*0</f>
        <v>0</v>
      </c>
      <c r="AP696" s="33">
        <f>L696*(1-0)</f>
        <v>0</v>
      </c>
      <c r="AQ696" s="59" t="s">
        <v>84</v>
      </c>
      <c r="AV696" s="33">
        <f>AW696+AX696</f>
        <v>0</v>
      </c>
      <c r="AW696" s="33">
        <f>K696*AO696</f>
        <v>0</v>
      </c>
      <c r="AX696" s="33">
        <f>K696*AP696</f>
        <v>0</v>
      </c>
      <c r="AY696" s="61" t="s">
        <v>1011</v>
      </c>
      <c r="AZ696" s="61" t="s">
        <v>1035</v>
      </c>
      <c r="BA696" s="58" t="s">
        <v>1040</v>
      </c>
      <c r="BC696" s="33">
        <f>AW696+AX696</f>
        <v>0</v>
      </c>
      <c r="BD696" s="33">
        <f>L696/(100-BE696)*100</f>
        <v>0</v>
      </c>
      <c r="BE696" s="33">
        <v>0</v>
      </c>
      <c r="BF696" s="33">
        <f>696</f>
        <v>696</v>
      </c>
      <c r="BH696" s="53">
        <f>K696*AO696</f>
        <v>0</v>
      </c>
      <c r="BI696" s="53">
        <f>K696*AP696</f>
        <v>0</v>
      </c>
      <c r="BJ696" s="53">
        <f>K696*L696</f>
        <v>0</v>
      </c>
      <c r="BK696" s="53" t="s">
        <v>1046</v>
      </c>
      <c r="BL696" s="33" t="s">
        <v>364</v>
      </c>
    </row>
    <row r="697" spans="1:47" ht="12.75">
      <c r="A697" s="37"/>
      <c r="B697" s="44" t="s">
        <v>64</v>
      </c>
      <c r="C697" s="44" t="s">
        <v>371</v>
      </c>
      <c r="D697" s="139" t="s">
        <v>802</v>
      </c>
      <c r="E697" s="140"/>
      <c r="F697" s="140"/>
      <c r="G697" s="140"/>
      <c r="H697" s="140"/>
      <c r="I697" s="140"/>
      <c r="J697" s="50" t="s">
        <v>59</v>
      </c>
      <c r="K697" s="50" t="s">
        <v>59</v>
      </c>
      <c r="L697" s="50" t="s">
        <v>59</v>
      </c>
      <c r="M697" s="64">
        <f>SUM(M698:M698)</f>
        <v>0</v>
      </c>
      <c r="N697" s="17"/>
      <c r="AI697" s="58" t="s">
        <v>64</v>
      </c>
      <c r="AS697" s="68">
        <f>SUM(AJ698:AJ698)</f>
        <v>0</v>
      </c>
      <c r="AT697" s="68">
        <f>SUM(AK698:AK698)</f>
        <v>0</v>
      </c>
      <c r="AU697" s="68">
        <f>SUM(AL698:AL698)</f>
        <v>0</v>
      </c>
    </row>
    <row r="698" spans="1:64" ht="12.75">
      <c r="A698" s="38" t="s">
        <v>253</v>
      </c>
      <c r="B698" s="45" t="s">
        <v>64</v>
      </c>
      <c r="C698" s="45" t="s">
        <v>386</v>
      </c>
      <c r="D698" s="141" t="s">
        <v>856</v>
      </c>
      <c r="E698" s="142"/>
      <c r="F698" s="142"/>
      <c r="G698" s="142"/>
      <c r="H698" s="142"/>
      <c r="I698" s="142"/>
      <c r="J698" s="45" t="s">
        <v>974</v>
      </c>
      <c r="K698" s="74">
        <v>50.612</v>
      </c>
      <c r="L698" s="53">
        <v>0</v>
      </c>
      <c r="M698" s="65">
        <f>K698*L698</f>
        <v>0</v>
      </c>
      <c r="N698" s="17"/>
      <c r="Z698" s="33">
        <f>IF(AQ698="5",BJ698,0)</f>
        <v>0</v>
      </c>
      <c r="AB698" s="33">
        <f>IF(AQ698="1",BH698,0)</f>
        <v>0</v>
      </c>
      <c r="AC698" s="33">
        <f>IF(AQ698="1",BI698,0)</f>
        <v>0</v>
      </c>
      <c r="AD698" s="33">
        <f>IF(AQ698="7",BH698,0)</f>
        <v>0</v>
      </c>
      <c r="AE698" s="33">
        <f>IF(AQ698="7",BI698,0)</f>
        <v>0</v>
      </c>
      <c r="AF698" s="33">
        <f>IF(AQ698="2",BH698,0)</f>
        <v>0</v>
      </c>
      <c r="AG698" s="33">
        <f>IF(AQ698="2",BI698,0)</f>
        <v>0</v>
      </c>
      <c r="AH698" s="33">
        <f>IF(AQ698="0",BJ698,0)</f>
        <v>0</v>
      </c>
      <c r="AI698" s="58" t="s">
        <v>64</v>
      </c>
      <c r="AJ698" s="53">
        <f>IF(AN698=0,M698,0)</f>
        <v>0</v>
      </c>
      <c r="AK698" s="53">
        <f>IF(AN698=15,M698,0)</f>
        <v>0</v>
      </c>
      <c r="AL698" s="53">
        <f>IF(AN698=21,M698,0)</f>
        <v>0</v>
      </c>
      <c r="AN698" s="33">
        <v>21</v>
      </c>
      <c r="AO698" s="33">
        <f>L698*0</f>
        <v>0</v>
      </c>
      <c r="AP698" s="33">
        <f>L698*(1-0)</f>
        <v>0</v>
      </c>
      <c r="AQ698" s="59" t="s">
        <v>84</v>
      </c>
      <c r="AV698" s="33">
        <f>AW698+AX698</f>
        <v>0</v>
      </c>
      <c r="AW698" s="33">
        <f>K698*AO698</f>
        <v>0</v>
      </c>
      <c r="AX698" s="33">
        <f>K698*AP698</f>
        <v>0</v>
      </c>
      <c r="AY698" s="61" t="s">
        <v>1012</v>
      </c>
      <c r="AZ698" s="61" t="s">
        <v>1035</v>
      </c>
      <c r="BA698" s="58" t="s">
        <v>1040</v>
      </c>
      <c r="BC698" s="33">
        <f>AW698+AX698</f>
        <v>0</v>
      </c>
      <c r="BD698" s="33">
        <f>L698/(100-BE698)*100</f>
        <v>0</v>
      </c>
      <c r="BE698" s="33">
        <v>0</v>
      </c>
      <c r="BF698" s="33">
        <f>698</f>
        <v>698</v>
      </c>
      <c r="BH698" s="53">
        <f>K698*AO698</f>
        <v>0</v>
      </c>
      <c r="BI698" s="53">
        <f>K698*AP698</f>
        <v>0</v>
      </c>
      <c r="BJ698" s="53">
        <f>K698*L698</f>
        <v>0</v>
      </c>
      <c r="BK698" s="53" t="s">
        <v>1046</v>
      </c>
      <c r="BL698" s="33" t="s">
        <v>371</v>
      </c>
    </row>
    <row r="699" spans="1:14" ht="12.75">
      <c r="A699" s="40"/>
      <c r="B699" s="47" t="s">
        <v>65</v>
      </c>
      <c r="C699" s="47"/>
      <c r="D699" s="150" t="s">
        <v>71</v>
      </c>
      <c r="E699" s="151"/>
      <c r="F699" s="151"/>
      <c r="G699" s="151"/>
      <c r="H699" s="151"/>
      <c r="I699" s="151"/>
      <c r="J699" s="51" t="s">
        <v>59</v>
      </c>
      <c r="K699" s="51" t="s">
        <v>59</v>
      </c>
      <c r="L699" s="51" t="s">
        <v>59</v>
      </c>
      <c r="M699" s="67">
        <f>M700</f>
        <v>0</v>
      </c>
      <c r="N699" s="17"/>
    </row>
    <row r="700" spans="1:47" ht="12.75">
      <c r="A700" s="37"/>
      <c r="B700" s="44" t="s">
        <v>65</v>
      </c>
      <c r="C700" s="44" t="s">
        <v>417</v>
      </c>
      <c r="D700" s="139" t="s">
        <v>953</v>
      </c>
      <c r="E700" s="140"/>
      <c r="F700" s="140"/>
      <c r="G700" s="140"/>
      <c r="H700" s="140"/>
      <c r="I700" s="140"/>
      <c r="J700" s="50" t="s">
        <v>59</v>
      </c>
      <c r="K700" s="50" t="s">
        <v>59</v>
      </c>
      <c r="L700" s="50" t="s">
        <v>59</v>
      </c>
      <c r="M700" s="64">
        <f>SUM(M701:M720)</f>
        <v>0</v>
      </c>
      <c r="N700" s="17"/>
      <c r="AI700" s="58" t="s">
        <v>65</v>
      </c>
      <c r="AS700" s="68">
        <f>SUM(AJ701:AJ720)</f>
        <v>0</v>
      </c>
      <c r="AT700" s="68">
        <f>SUM(AK701:AK720)</f>
        <v>0</v>
      </c>
      <c r="AU700" s="68">
        <f>SUM(AL701:AL720)</f>
        <v>0</v>
      </c>
    </row>
    <row r="701" spans="1:64" ht="12.75">
      <c r="A701" s="38" t="s">
        <v>254</v>
      </c>
      <c r="B701" s="45" t="s">
        <v>65</v>
      </c>
      <c r="C701" s="45" t="s">
        <v>418</v>
      </c>
      <c r="D701" s="141" t="s">
        <v>39</v>
      </c>
      <c r="E701" s="142"/>
      <c r="F701" s="142"/>
      <c r="G701" s="142"/>
      <c r="H701" s="142"/>
      <c r="I701" s="142"/>
      <c r="J701" s="45" t="s">
        <v>976</v>
      </c>
      <c r="K701" s="74">
        <v>1</v>
      </c>
      <c r="L701" s="53">
        <v>0</v>
      </c>
      <c r="M701" s="65">
        <f>K701*L701</f>
        <v>0</v>
      </c>
      <c r="N701" s="17"/>
      <c r="Z701" s="33">
        <f>IF(AQ701="5",BJ701,0)</f>
        <v>0</v>
      </c>
      <c r="AB701" s="33">
        <f>IF(AQ701="1",BH701,0)</f>
        <v>0</v>
      </c>
      <c r="AC701" s="33">
        <f>IF(AQ701="1",BI701,0)</f>
        <v>0</v>
      </c>
      <c r="AD701" s="33">
        <f>IF(AQ701="7",BH701,0)</f>
        <v>0</v>
      </c>
      <c r="AE701" s="33">
        <f>IF(AQ701="7",BI701,0)</f>
        <v>0</v>
      </c>
      <c r="AF701" s="33">
        <f>IF(AQ701="2",BH701,0)</f>
        <v>0</v>
      </c>
      <c r="AG701" s="33">
        <f>IF(AQ701="2",BI701,0)</f>
        <v>0</v>
      </c>
      <c r="AH701" s="33">
        <f>IF(AQ701="0",BJ701,0)</f>
        <v>0</v>
      </c>
      <c r="AI701" s="58" t="s">
        <v>65</v>
      </c>
      <c r="AJ701" s="53">
        <f>IF(AN701=0,M701,0)</f>
        <v>0</v>
      </c>
      <c r="AK701" s="53">
        <f>IF(AN701=15,M701,0)</f>
        <v>0</v>
      </c>
      <c r="AL701" s="53">
        <f>IF(AN701=21,M701,0)</f>
        <v>0</v>
      </c>
      <c r="AN701" s="33">
        <v>21</v>
      </c>
      <c r="AO701" s="33">
        <f>L701*0</f>
        <v>0</v>
      </c>
      <c r="AP701" s="33">
        <f>L701*(1-0)</f>
        <v>0</v>
      </c>
      <c r="AQ701" s="59" t="s">
        <v>80</v>
      </c>
      <c r="AV701" s="33">
        <f>AW701+AX701</f>
        <v>0</v>
      </c>
      <c r="AW701" s="33">
        <f>K701*AO701</f>
        <v>0</v>
      </c>
      <c r="AX701" s="33">
        <f>K701*AP701</f>
        <v>0</v>
      </c>
      <c r="AY701" s="61" t="s">
        <v>1017</v>
      </c>
      <c r="AZ701" s="61" t="s">
        <v>1036</v>
      </c>
      <c r="BA701" s="58" t="s">
        <v>1041</v>
      </c>
      <c r="BC701" s="33">
        <f>AW701+AX701</f>
        <v>0</v>
      </c>
      <c r="BD701" s="33">
        <f>L701/(100-BE701)*100</f>
        <v>0</v>
      </c>
      <c r="BE701" s="33">
        <v>0</v>
      </c>
      <c r="BF701" s="33">
        <f>701</f>
        <v>701</v>
      </c>
      <c r="BH701" s="53">
        <f>K701*AO701</f>
        <v>0</v>
      </c>
      <c r="BI701" s="53">
        <f>K701*AP701</f>
        <v>0</v>
      </c>
      <c r="BJ701" s="53">
        <f>K701*L701</f>
        <v>0</v>
      </c>
      <c r="BK701" s="53" t="s">
        <v>1046</v>
      </c>
      <c r="BL701" s="33">
        <v>0</v>
      </c>
    </row>
    <row r="702" spans="1:14" ht="12.75">
      <c r="A702" s="17"/>
      <c r="D702" s="143" t="s">
        <v>663</v>
      </c>
      <c r="E702" s="144"/>
      <c r="F702" s="144"/>
      <c r="G702" s="144"/>
      <c r="H702" s="144"/>
      <c r="I702" s="144"/>
      <c r="K702" s="75">
        <v>1</v>
      </c>
      <c r="M702" s="14"/>
      <c r="N702" s="17"/>
    </row>
    <row r="703" spans="1:64" ht="12.75">
      <c r="A703" s="38" t="s">
        <v>255</v>
      </c>
      <c r="B703" s="45" t="s">
        <v>65</v>
      </c>
      <c r="C703" s="45" t="s">
        <v>419</v>
      </c>
      <c r="D703" s="141" t="s">
        <v>954</v>
      </c>
      <c r="E703" s="142"/>
      <c r="F703" s="142"/>
      <c r="G703" s="142"/>
      <c r="H703" s="142"/>
      <c r="I703" s="142"/>
      <c r="J703" s="45" t="s">
        <v>976</v>
      </c>
      <c r="K703" s="74">
        <v>1</v>
      </c>
      <c r="L703" s="53">
        <v>0</v>
      </c>
      <c r="M703" s="65">
        <f>K703*L703</f>
        <v>0</v>
      </c>
      <c r="N703" s="17"/>
      <c r="Z703" s="33">
        <f>IF(AQ703="5",BJ703,0)</f>
        <v>0</v>
      </c>
      <c r="AB703" s="33">
        <f>IF(AQ703="1",BH703,0)</f>
        <v>0</v>
      </c>
      <c r="AC703" s="33">
        <f>IF(AQ703="1",BI703,0)</f>
        <v>0</v>
      </c>
      <c r="AD703" s="33">
        <f>IF(AQ703="7",BH703,0)</f>
        <v>0</v>
      </c>
      <c r="AE703" s="33">
        <f>IF(AQ703="7",BI703,0)</f>
        <v>0</v>
      </c>
      <c r="AF703" s="33">
        <f>IF(AQ703="2",BH703,0)</f>
        <v>0</v>
      </c>
      <c r="AG703" s="33">
        <f>IF(AQ703="2",BI703,0)</f>
        <v>0</v>
      </c>
      <c r="AH703" s="33">
        <f>IF(AQ703="0",BJ703,0)</f>
        <v>0</v>
      </c>
      <c r="AI703" s="58" t="s">
        <v>65</v>
      </c>
      <c r="AJ703" s="53">
        <f>IF(AN703=0,M703,0)</f>
        <v>0</v>
      </c>
      <c r="AK703" s="53">
        <f>IF(AN703=15,M703,0)</f>
        <v>0</v>
      </c>
      <c r="AL703" s="53">
        <f>IF(AN703=21,M703,0)</f>
        <v>0</v>
      </c>
      <c r="AN703" s="33">
        <v>21</v>
      </c>
      <c r="AO703" s="33">
        <f>L703*0</f>
        <v>0</v>
      </c>
      <c r="AP703" s="33">
        <f>L703*(1-0)</f>
        <v>0</v>
      </c>
      <c r="AQ703" s="59" t="s">
        <v>80</v>
      </c>
      <c r="AV703" s="33">
        <f>AW703+AX703</f>
        <v>0</v>
      </c>
      <c r="AW703" s="33">
        <f>K703*AO703</f>
        <v>0</v>
      </c>
      <c r="AX703" s="33">
        <f>K703*AP703</f>
        <v>0</v>
      </c>
      <c r="AY703" s="61" t="s">
        <v>1017</v>
      </c>
      <c r="AZ703" s="61" t="s">
        <v>1036</v>
      </c>
      <c r="BA703" s="58" t="s">
        <v>1041</v>
      </c>
      <c r="BC703" s="33">
        <f>AW703+AX703</f>
        <v>0</v>
      </c>
      <c r="BD703" s="33">
        <f>L703/(100-BE703)*100</f>
        <v>0</v>
      </c>
      <c r="BE703" s="33">
        <v>0</v>
      </c>
      <c r="BF703" s="33">
        <f>703</f>
        <v>703</v>
      </c>
      <c r="BH703" s="53">
        <f>K703*AO703</f>
        <v>0</v>
      </c>
      <c r="BI703" s="53">
        <f>K703*AP703</f>
        <v>0</v>
      </c>
      <c r="BJ703" s="53">
        <f>K703*L703</f>
        <v>0</v>
      </c>
      <c r="BK703" s="53" t="s">
        <v>1046</v>
      </c>
      <c r="BL703" s="33">
        <v>0</v>
      </c>
    </row>
    <row r="704" spans="1:14" ht="12.75">
      <c r="A704" s="17"/>
      <c r="D704" s="143" t="s">
        <v>663</v>
      </c>
      <c r="E704" s="144"/>
      <c r="F704" s="144"/>
      <c r="G704" s="144"/>
      <c r="H704" s="144"/>
      <c r="I704" s="144"/>
      <c r="K704" s="75">
        <v>1</v>
      </c>
      <c r="M704" s="14"/>
      <c r="N704" s="17"/>
    </row>
    <row r="705" spans="1:64" ht="12.75">
      <c r="A705" s="38" t="s">
        <v>256</v>
      </c>
      <c r="B705" s="45" t="s">
        <v>65</v>
      </c>
      <c r="C705" s="45" t="s">
        <v>420</v>
      </c>
      <c r="D705" s="141" t="s">
        <v>955</v>
      </c>
      <c r="E705" s="142"/>
      <c r="F705" s="142"/>
      <c r="G705" s="142"/>
      <c r="H705" s="142"/>
      <c r="I705" s="142"/>
      <c r="J705" s="45" t="s">
        <v>976</v>
      </c>
      <c r="K705" s="74">
        <v>1</v>
      </c>
      <c r="L705" s="53">
        <v>0</v>
      </c>
      <c r="M705" s="65">
        <f>K705*L705</f>
        <v>0</v>
      </c>
      <c r="N705" s="17"/>
      <c r="Z705" s="33">
        <f>IF(AQ705="5",BJ705,0)</f>
        <v>0</v>
      </c>
      <c r="AB705" s="33">
        <f>IF(AQ705="1",BH705,0)</f>
        <v>0</v>
      </c>
      <c r="AC705" s="33">
        <f>IF(AQ705="1",BI705,0)</f>
        <v>0</v>
      </c>
      <c r="AD705" s="33">
        <f>IF(AQ705="7",BH705,0)</f>
        <v>0</v>
      </c>
      <c r="AE705" s="33">
        <f>IF(AQ705="7",BI705,0)</f>
        <v>0</v>
      </c>
      <c r="AF705" s="33">
        <f>IF(AQ705="2",BH705,0)</f>
        <v>0</v>
      </c>
      <c r="AG705" s="33">
        <f>IF(AQ705="2",BI705,0)</f>
        <v>0</v>
      </c>
      <c r="AH705" s="33">
        <f>IF(AQ705="0",BJ705,0)</f>
        <v>0</v>
      </c>
      <c r="AI705" s="58" t="s">
        <v>65</v>
      </c>
      <c r="AJ705" s="53">
        <f>IF(AN705=0,M705,0)</f>
        <v>0</v>
      </c>
      <c r="AK705" s="53">
        <f>IF(AN705=15,M705,0)</f>
        <v>0</v>
      </c>
      <c r="AL705" s="53">
        <f>IF(AN705=21,M705,0)</f>
        <v>0</v>
      </c>
      <c r="AN705" s="33">
        <v>21</v>
      </c>
      <c r="AO705" s="33">
        <f>L705*0</f>
        <v>0</v>
      </c>
      <c r="AP705" s="33">
        <f>L705*(1-0)</f>
        <v>0</v>
      </c>
      <c r="AQ705" s="59" t="s">
        <v>80</v>
      </c>
      <c r="AV705" s="33">
        <f>AW705+AX705</f>
        <v>0</v>
      </c>
      <c r="AW705" s="33">
        <f>K705*AO705</f>
        <v>0</v>
      </c>
      <c r="AX705" s="33">
        <f>K705*AP705</f>
        <v>0</v>
      </c>
      <c r="AY705" s="61" t="s">
        <v>1017</v>
      </c>
      <c r="AZ705" s="61" t="s">
        <v>1036</v>
      </c>
      <c r="BA705" s="58" t="s">
        <v>1041</v>
      </c>
      <c r="BC705" s="33">
        <f>AW705+AX705</f>
        <v>0</v>
      </c>
      <c r="BD705" s="33">
        <f>L705/(100-BE705)*100</f>
        <v>0</v>
      </c>
      <c r="BE705" s="33">
        <v>0</v>
      </c>
      <c r="BF705" s="33">
        <f>705</f>
        <v>705</v>
      </c>
      <c r="BH705" s="53">
        <f>K705*AO705</f>
        <v>0</v>
      </c>
      <c r="BI705" s="53">
        <f>K705*AP705</f>
        <v>0</v>
      </c>
      <c r="BJ705" s="53">
        <f>K705*L705</f>
        <v>0</v>
      </c>
      <c r="BK705" s="53" t="s">
        <v>1046</v>
      </c>
      <c r="BL705" s="33">
        <v>0</v>
      </c>
    </row>
    <row r="706" spans="1:14" ht="12.75">
      <c r="A706" s="17"/>
      <c r="D706" s="143" t="s">
        <v>663</v>
      </c>
      <c r="E706" s="144"/>
      <c r="F706" s="144"/>
      <c r="G706" s="144"/>
      <c r="H706" s="144"/>
      <c r="I706" s="144"/>
      <c r="K706" s="75">
        <v>1</v>
      </c>
      <c r="M706" s="14"/>
      <c r="N706" s="17"/>
    </row>
    <row r="707" spans="1:64" ht="12.75">
      <c r="A707" s="38" t="s">
        <v>257</v>
      </c>
      <c r="B707" s="45" t="s">
        <v>65</v>
      </c>
      <c r="C707" s="45" t="s">
        <v>421</v>
      </c>
      <c r="D707" s="141" t="s">
        <v>956</v>
      </c>
      <c r="E707" s="142"/>
      <c r="F707" s="142"/>
      <c r="G707" s="142"/>
      <c r="H707" s="142"/>
      <c r="I707" s="142"/>
      <c r="J707" s="45" t="s">
        <v>976</v>
      </c>
      <c r="K707" s="74">
        <v>1</v>
      </c>
      <c r="L707" s="53">
        <v>0</v>
      </c>
      <c r="M707" s="65">
        <f>K707*L707</f>
        <v>0</v>
      </c>
      <c r="N707" s="17"/>
      <c r="Z707" s="33">
        <f>IF(AQ707="5",BJ707,0)</f>
        <v>0</v>
      </c>
      <c r="AB707" s="33">
        <f>IF(AQ707="1",BH707,0)</f>
        <v>0</v>
      </c>
      <c r="AC707" s="33">
        <f>IF(AQ707="1",BI707,0)</f>
        <v>0</v>
      </c>
      <c r="AD707" s="33">
        <f>IF(AQ707="7",BH707,0)</f>
        <v>0</v>
      </c>
      <c r="AE707" s="33">
        <f>IF(AQ707="7",BI707,0)</f>
        <v>0</v>
      </c>
      <c r="AF707" s="33">
        <f>IF(AQ707="2",BH707,0)</f>
        <v>0</v>
      </c>
      <c r="AG707" s="33">
        <f>IF(AQ707="2",BI707,0)</f>
        <v>0</v>
      </c>
      <c r="AH707" s="33">
        <f>IF(AQ707="0",BJ707,0)</f>
        <v>0</v>
      </c>
      <c r="AI707" s="58" t="s">
        <v>65</v>
      </c>
      <c r="AJ707" s="53">
        <f>IF(AN707=0,M707,0)</f>
        <v>0</v>
      </c>
      <c r="AK707" s="53">
        <f>IF(AN707=15,M707,0)</f>
        <v>0</v>
      </c>
      <c r="AL707" s="53">
        <f>IF(AN707=21,M707,0)</f>
        <v>0</v>
      </c>
      <c r="AN707" s="33">
        <v>21</v>
      </c>
      <c r="AO707" s="33">
        <f>L707*0</f>
        <v>0</v>
      </c>
      <c r="AP707" s="33">
        <f>L707*(1-0)</f>
        <v>0</v>
      </c>
      <c r="AQ707" s="59" t="s">
        <v>80</v>
      </c>
      <c r="AV707" s="33">
        <f>AW707+AX707</f>
        <v>0</v>
      </c>
      <c r="AW707" s="33">
        <f>K707*AO707</f>
        <v>0</v>
      </c>
      <c r="AX707" s="33">
        <f>K707*AP707</f>
        <v>0</v>
      </c>
      <c r="AY707" s="61" t="s">
        <v>1017</v>
      </c>
      <c r="AZ707" s="61" t="s">
        <v>1036</v>
      </c>
      <c r="BA707" s="58" t="s">
        <v>1041</v>
      </c>
      <c r="BC707" s="33">
        <f>AW707+AX707</f>
        <v>0</v>
      </c>
      <c r="BD707" s="33">
        <f>L707/(100-BE707)*100</f>
        <v>0</v>
      </c>
      <c r="BE707" s="33">
        <v>0</v>
      </c>
      <c r="BF707" s="33">
        <f>707</f>
        <v>707</v>
      </c>
      <c r="BH707" s="53">
        <f>K707*AO707</f>
        <v>0</v>
      </c>
      <c r="BI707" s="53">
        <f>K707*AP707</f>
        <v>0</v>
      </c>
      <c r="BJ707" s="53">
        <f>K707*L707</f>
        <v>0</v>
      </c>
      <c r="BK707" s="53" t="s">
        <v>1046</v>
      </c>
      <c r="BL707" s="33">
        <v>0</v>
      </c>
    </row>
    <row r="708" spans="1:14" ht="12.75">
      <c r="A708" s="17"/>
      <c r="D708" s="143" t="s">
        <v>663</v>
      </c>
      <c r="E708" s="144"/>
      <c r="F708" s="144"/>
      <c r="G708" s="144"/>
      <c r="H708" s="144"/>
      <c r="I708" s="144"/>
      <c r="K708" s="75">
        <v>1</v>
      </c>
      <c r="M708" s="14"/>
      <c r="N708" s="17"/>
    </row>
    <row r="709" spans="1:64" ht="12.75">
      <c r="A709" s="38" t="s">
        <v>258</v>
      </c>
      <c r="B709" s="45" t="s">
        <v>65</v>
      </c>
      <c r="C709" s="45" t="s">
        <v>422</v>
      </c>
      <c r="D709" s="141" t="s">
        <v>957</v>
      </c>
      <c r="E709" s="142"/>
      <c r="F709" s="142"/>
      <c r="G709" s="142"/>
      <c r="H709" s="142"/>
      <c r="I709" s="142"/>
      <c r="J709" s="45" t="s">
        <v>976</v>
      </c>
      <c r="K709" s="74">
        <v>1</v>
      </c>
      <c r="L709" s="53">
        <v>0</v>
      </c>
      <c r="M709" s="65">
        <f>K709*L709</f>
        <v>0</v>
      </c>
      <c r="N709" s="17"/>
      <c r="Z709" s="33">
        <f>IF(AQ709="5",BJ709,0)</f>
        <v>0</v>
      </c>
      <c r="AB709" s="33">
        <f>IF(AQ709="1",BH709,0)</f>
        <v>0</v>
      </c>
      <c r="AC709" s="33">
        <f>IF(AQ709="1",BI709,0)</f>
        <v>0</v>
      </c>
      <c r="AD709" s="33">
        <f>IF(AQ709="7",BH709,0)</f>
        <v>0</v>
      </c>
      <c r="AE709" s="33">
        <f>IF(AQ709="7",BI709,0)</f>
        <v>0</v>
      </c>
      <c r="AF709" s="33">
        <f>IF(AQ709="2",BH709,0)</f>
        <v>0</v>
      </c>
      <c r="AG709" s="33">
        <f>IF(AQ709="2",BI709,0)</f>
        <v>0</v>
      </c>
      <c r="AH709" s="33">
        <f>IF(AQ709="0",BJ709,0)</f>
        <v>0</v>
      </c>
      <c r="AI709" s="58" t="s">
        <v>65</v>
      </c>
      <c r="AJ709" s="53">
        <f>IF(AN709=0,M709,0)</f>
        <v>0</v>
      </c>
      <c r="AK709" s="53">
        <f>IF(AN709=15,M709,0)</f>
        <v>0</v>
      </c>
      <c r="AL709" s="53">
        <f>IF(AN709=21,M709,0)</f>
        <v>0</v>
      </c>
      <c r="AN709" s="33">
        <v>21</v>
      </c>
      <c r="AO709" s="33">
        <f>L709*0</f>
        <v>0</v>
      </c>
      <c r="AP709" s="33">
        <f>L709*(1-0)</f>
        <v>0</v>
      </c>
      <c r="AQ709" s="59" t="s">
        <v>80</v>
      </c>
      <c r="AV709" s="33">
        <f>AW709+AX709</f>
        <v>0</v>
      </c>
      <c r="AW709" s="33">
        <f>K709*AO709</f>
        <v>0</v>
      </c>
      <c r="AX709" s="33">
        <f>K709*AP709</f>
        <v>0</v>
      </c>
      <c r="AY709" s="61" t="s">
        <v>1017</v>
      </c>
      <c r="AZ709" s="61" t="s">
        <v>1036</v>
      </c>
      <c r="BA709" s="58" t="s">
        <v>1041</v>
      </c>
      <c r="BC709" s="33">
        <f>AW709+AX709</f>
        <v>0</v>
      </c>
      <c r="BD709" s="33">
        <f>L709/(100-BE709)*100</f>
        <v>0</v>
      </c>
      <c r="BE709" s="33">
        <v>0</v>
      </c>
      <c r="BF709" s="33">
        <f>709</f>
        <v>709</v>
      </c>
      <c r="BH709" s="53">
        <f>K709*AO709</f>
        <v>0</v>
      </c>
      <c r="BI709" s="53">
        <f>K709*AP709</f>
        <v>0</v>
      </c>
      <c r="BJ709" s="53">
        <f>K709*L709</f>
        <v>0</v>
      </c>
      <c r="BK709" s="53" t="s">
        <v>1046</v>
      </c>
      <c r="BL709" s="33">
        <v>0</v>
      </c>
    </row>
    <row r="710" spans="1:14" ht="12.75">
      <c r="A710" s="17"/>
      <c r="D710" s="143" t="s">
        <v>663</v>
      </c>
      <c r="E710" s="144"/>
      <c r="F710" s="144"/>
      <c r="G710" s="144"/>
      <c r="H710" s="144"/>
      <c r="I710" s="144"/>
      <c r="K710" s="75">
        <v>1</v>
      </c>
      <c r="M710" s="14"/>
      <c r="N710" s="17"/>
    </row>
    <row r="711" spans="1:64" ht="12.75">
      <c r="A711" s="38" t="s">
        <v>259</v>
      </c>
      <c r="B711" s="45" t="s">
        <v>65</v>
      </c>
      <c r="C711" s="45" t="s">
        <v>423</v>
      </c>
      <c r="D711" s="141" t="s">
        <v>958</v>
      </c>
      <c r="E711" s="142"/>
      <c r="F711" s="142"/>
      <c r="G711" s="142"/>
      <c r="H711" s="142"/>
      <c r="I711" s="142"/>
      <c r="J711" s="45" t="s">
        <v>976</v>
      </c>
      <c r="K711" s="74">
        <v>1</v>
      </c>
      <c r="L711" s="53">
        <v>0</v>
      </c>
      <c r="M711" s="65">
        <f>K711*L711</f>
        <v>0</v>
      </c>
      <c r="N711" s="17"/>
      <c r="Z711" s="33">
        <f>IF(AQ711="5",BJ711,0)</f>
        <v>0</v>
      </c>
      <c r="AB711" s="33">
        <f>IF(AQ711="1",BH711,0)</f>
        <v>0</v>
      </c>
      <c r="AC711" s="33">
        <f>IF(AQ711="1",BI711,0)</f>
        <v>0</v>
      </c>
      <c r="AD711" s="33">
        <f>IF(AQ711="7",BH711,0)</f>
        <v>0</v>
      </c>
      <c r="AE711" s="33">
        <f>IF(AQ711="7",BI711,0)</f>
        <v>0</v>
      </c>
      <c r="AF711" s="33">
        <f>IF(AQ711="2",BH711,0)</f>
        <v>0</v>
      </c>
      <c r="AG711" s="33">
        <f>IF(AQ711="2",BI711,0)</f>
        <v>0</v>
      </c>
      <c r="AH711" s="33">
        <f>IF(AQ711="0",BJ711,0)</f>
        <v>0</v>
      </c>
      <c r="AI711" s="58" t="s">
        <v>65</v>
      </c>
      <c r="AJ711" s="53">
        <f>IF(AN711=0,M711,0)</f>
        <v>0</v>
      </c>
      <c r="AK711" s="53">
        <f>IF(AN711=15,M711,0)</f>
        <v>0</v>
      </c>
      <c r="AL711" s="53">
        <f>IF(AN711=21,M711,0)</f>
        <v>0</v>
      </c>
      <c r="AN711" s="33">
        <v>21</v>
      </c>
      <c r="AO711" s="33">
        <f>L711*0</f>
        <v>0</v>
      </c>
      <c r="AP711" s="33">
        <f>L711*(1-0)</f>
        <v>0</v>
      </c>
      <c r="AQ711" s="59" t="s">
        <v>80</v>
      </c>
      <c r="AV711" s="33">
        <f>AW711+AX711</f>
        <v>0</v>
      </c>
      <c r="AW711" s="33">
        <f>K711*AO711</f>
        <v>0</v>
      </c>
      <c r="AX711" s="33">
        <f>K711*AP711</f>
        <v>0</v>
      </c>
      <c r="AY711" s="61" t="s">
        <v>1017</v>
      </c>
      <c r="AZ711" s="61" t="s">
        <v>1036</v>
      </c>
      <c r="BA711" s="58" t="s">
        <v>1041</v>
      </c>
      <c r="BC711" s="33">
        <f>AW711+AX711</f>
        <v>0</v>
      </c>
      <c r="BD711" s="33">
        <f>L711/(100-BE711)*100</f>
        <v>0</v>
      </c>
      <c r="BE711" s="33">
        <v>0</v>
      </c>
      <c r="BF711" s="33">
        <f>711</f>
        <v>711</v>
      </c>
      <c r="BH711" s="53">
        <f>K711*AO711</f>
        <v>0</v>
      </c>
      <c r="BI711" s="53">
        <f>K711*AP711</f>
        <v>0</v>
      </c>
      <c r="BJ711" s="53">
        <f>K711*L711</f>
        <v>0</v>
      </c>
      <c r="BK711" s="53" t="s">
        <v>1046</v>
      </c>
      <c r="BL711" s="33">
        <v>0</v>
      </c>
    </row>
    <row r="712" spans="1:14" ht="12.75">
      <c r="A712" s="17"/>
      <c r="D712" s="143" t="s">
        <v>663</v>
      </c>
      <c r="E712" s="144"/>
      <c r="F712" s="144"/>
      <c r="G712" s="144"/>
      <c r="H712" s="144"/>
      <c r="I712" s="144"/>
      <c r="K712" s="75">
        <v>1</v>
      </c>
      <c r="M712" s="14"/>
      <c r="N712" s="17"/>
    </row>
    <row r="713" spans="1:64" ht="12.75">
      <c r="A713" s="38" t="s">
        <v>260</v>
      </c>
      <c r="B713" s="45" t="s">
        <v>65</v>
      </c>
      <c r="C713" s="45" t="s">
        <v>424</v>
      </c>
      <c r="D713" s="141" t="s">
        <v>959</v>
      </c>
      <c r="E713" s="142"/>
      <c r="F713" s="142"/>
      <c r="G713" s="142"/>
      <c r="H713" s="142"/>
      <c r="I713" s="142"/>
      <c r="J713" s="45" t="s">
        <v>976</v>
      </c>
      <c r="K713" s="74">
        <v>1</v>
      </c>
      <c r="L713" s="53">
        <v>0</v>
      </c>
      <c r="M713" s="65">
        <f>K713*L713</f>
        <v>0</v>
      </c>
      <c r="N713" s="17"/>
      <c r="Z713" s="33">
        <f>IF(AQ713="5",BJ713,0)</f>
        <v>0</v>
      </c>
      <c r="AB713" s="33">
        <f>IF(AQ713="1",BH713,0)</f>
        <v>0</v>
      </c>
      <c r="AC713" s="33">
        <f>IF(AQ713="1",BI713,0)</f>
        <v>0</v>
      </c>
      <c r="AD713" s="33">
        <f>IF(AQ713="7",BH713,0)</f>
        <v>0</v>
      </c>
      <c r="AE713" s="33">
        <f>IF(AQ713="7",BI713,0)</f>
        <v>0</v>
      </c>
      <c r="AF713" s="33">
        <f>IF(AQ713="2",BH713,0)</f>
        <v>0</v>
      </c>
      <c r="AG713" s="33">
        <f>IF(AQ713="2",BI713,0)</f>
        <v>0</v>
      </c>
      <c r="AH713" s="33">
        <f>IF(AQ713="0",BJ713,0)</f>
        <v>0</v>
      </c>
      <c r="AI713" s="58" t="s">
        <v>65</v>
      </c>
      <c r="AJ713" s="53">
        <f>IF(AN713=0,M713,0)</f>
        <v>0</v>
      </c>
      <c r="AK713" s="53">
        <f>IF(AN713=15,M713,0)</f>
        <v>0</v>
      </c>
      <c r="AL713" s="53">
        <f>IF(AN713=21,M713,0)</f>
        <v>0</v>
      </c>
      <c r="AN713" s="33">
        <v>21</v>
      </c>
      <c r="AO713" s="33">
        <f>L713*0</f>
        <v>0</v>
      </c>
      <c r="AP713" s="33">
        <f>L713*(1-0)</f>
        <v>0</v>
      </c>
      <c r="AQ713" s="59" t="s">
        <v>80</v>
      </c>
      <c r="AV713" s="33">
        <f>AW713+AX713</f>
        <v>0</v>
      </c>
      <c r="AW713" s="33">
        <f>K713*AO713</f>
        <v>0</v>
      </c>
      <c r="AX713" s="33">
        <f>K713*AP713</f>
        <v>0</v>
      </c>
      <c r="AY713" s="61" t="s">
        <v>1017</v>
      </c>
      <c r="AZ713" s="61" t="s">
        <v>1036</v>
      </c>
      <c r="BA713" s="58" t="s">
        <v>1041</v>
      </c>
      <c r="BC713" s="33">
        <f>AW713+AX713</f>
        <v>0</v>
      </c>
      <c r="BD713" s="33">
        <f>L713/(100-BE713)*100</f>
        <v>0</v>
      </c>
      <c r="BE713" s="33">
        <v>0</v>
      </c>
      <c r="BF713" s="33">
        <f>713</f>
        <v>713</v>
      </c>
      <c r="BH713" s="53">
        <f>K713*AO713</f>
        <v>0</v>
      </c>
      <c r="BI713" s="53">
        <f>K713*AP713</f>
        <v>0</v>
      </c>
      <c r="BJ713" s="53">
        <f>K713*L713</f>
        <v>0</v>
      </c>
      <c r="BK713" s="53" t="s">
        <v>1046</v>
      </c>
      <c r="BL713" s="33">
        <v>0</v>
      </c>
    </row>
    <row r="714" spans="1:14" ht="12.75">
      <c r="A714" s="17"/>
      <c r="D714" s="143" t="s">
        <v>663</v>
      </c>
      <c r="E714" s="144"/>
      <c r="F714" s="144"/>
      <c r="G714" s="144"/>
      <c r="H714" s="144"/>
      <c r="I714" s="144"/>
      <c r="K714" s="75">
        <v>1</v>
      </c>
      <c r="M714" s="14"/>
      <c r="N714" s="17"/>
    </row>
    <row r="715" spans="1:64" ht="12.75">
      <c r="A715" s="38" t="s">
        <v>261</v>
      </c>
      <c r="B715" s="45" t="s">
        <v>65</v>
      </c>
      <c r="C715" s="45" t="s">
        <v>425</v>
      </c>
      <c r="D715" s="141" t="s">
        <v>960</v>
      </c>
      <c r="E715" s="142"/>
      <c r="F715" s="142"/>
      <c r="G715" s="142"/>
      <c r="H715" s="142"/>
      <c r="I715" s="142"/>
      <c r="J715" s="45" t="s">
        <v>971</v>
      </c>
      <c r="K715" s="74">
        <v>6</v>
      </c>
      <c r="L715" s="53">
        <v>0</v>
      </c>
      <c r="M715" s="65">
        <f>K715*L715</f>
        <v>0</v>
      </c>
      <c r="N715" s="17"/>
      <c r="Z715" s="33">
        <f>IF(AQ715="5",BJ715,0)</f>
        <v>0</v>
      </c>
      <c r="AB715" s="33">
        <f>IF(AQ715="1",BH715,0)</f>
        <v>0</v>
      </c>
      <c r="AC715" s="33">
        <f>IF(AQ715="1",BI715,0)</f>
        <v>0</v>
      </c>
      <c r="AD715" s="33">
        <f>IF(AQ715="7",BH715,0)</f>
        <v>0</v>
      </c>
      <c r="AE715" s="33">
        <f>IF(AQ715="7",BI715,0)</f>
        <v>0</v>
      </c>
      <c r="AF715" s="33">
        <f>IF(AQ715="2",BH715,0)</f>
        <v>0</v>
      </c>
      <c r="AG715" s="33">
        <f>IF(AQ715="2",BI715,0)</f>
        <v>0</v>
      </c>
      <c r="AH715" s="33">
        <f>IF(AQ715="0",BJ715,0)</f>
        <v>0</v>
      </c>
      <c r="AI715" s="58" t="s">
        <v>65</v>
      </c>
      <c r="AJ715" s="53">
        <f>IF(AN715=0,M715,0)</f>
        <v>0</v>
      </c>
      <c r="AK715" s="53">
        <f>IF(AN715=15,M715,0)</f>
        <v>0</v>
      </c>
      <c r="AL715" s="53">
        <f>IF(AN715=21,M715,0)</f>
        <v>0</v>
      </c>
      <c r="AN715" s="33">
        <v>21</v>
      </c>
      <c r="AO715" s="33">
        <f>L715*0</f>
        <v>0</v>
      </c>
      <c r="AP715" s="33">
        <f>L715*(1-0)</f>
        <v>0</v>
      </c>
      <c r="AQ715" s="59" t="s">
        <v>80</v>
      </c>
      <c r="AV715" s="33">
        <f>AW715+AX715</f>
        <v>0</v>
      </c>
      <c r="AW715" s="33">
        <f>K715*AO715</f>
        <v>0</v>
      </c>
      <c r="AX715" s="33">
        <f>K715*AP715</f>
        <v>0</v>
      </c>
      <c r="AY715" s="61" t="s">
        <v>1017</v>
      </c>
      <c r="AZ715" s="61" t="s">
        <v>1036</v>
      </c>
      <c r="BA715" s="58" t="s">
        <v>1041</v>
      </c>
      <c r="BC715" s="33">
        <f>AW715+AX715</f>
        <v>0</v>
      </c>
      <c r="BD715" s="33">
        <f>L715/(100-BE715)*100</f>
        <v>0</v>
      </c>
      <c r="BE715" s="33">
        <v>0</v>
      </c>
      <c r="BF715" s="33">
        <f>715</f>
        <v>715</v>
      </c>
      <c r="BH715" s="53">
        <f>K715*AO715</f>
        <v>0</v>
      </c>
      <c r="BI715" s="53">
        <f>K715*AP715</f>
        <v>0</v>
      </c>
      <c r="BJ715" s="53">
        <f>K715*L715</f>
        <v>0</v>
      </c>
      <c r="BK715" s="53" t="s">
        <v>1046</v>
      </c>
      <c r="BL715" s="33">
        <v>0</v>
      </c>
    </row>
    <row r="716" spans="1:14" ht="12.75">
      <c r="A716" s="17"/>
      <c r="D716" s="143" t="s">
        <v>642</v>
      </c>
      <c r="E716" s="144"/>
      <c r="F716" s="144"/>
      <c r="G716" s="144"/>
      <c r="H716" s="144"/>
      <c r="I716" s="144"/>
      <c r="K716" s="75">
        <v>6</v>
      </c>
      <c r="M716" s="14"/>
      <c r="N716" s="17"/>
    </row>
    <row r="717" spans="1:64" ht="12.75">
      <c r="A717" s="38" t="s">
        <v>262</v>
      </c>
      <c r="B717" s="45" t="s">
        <v>65</v>
      </c>
      <c r="C717" s="45" t="s">
        <v>426</v>
      </c>
      <c r="D717" s="141" t="s">
        <v>961</v>
      </c>
      <c r="E717" s="142"/>
      <c r="F717" s="142"/>
      <c r="G717" s="142"/>
      <c r="H717" s="142"/>
      <c r="I717" s="142"/>
      <c r="J717" s="45" t="s">
        <v>976</v>
      </c>
      <c r="K717" s="74">
        <v>1</v>
      </c>
      <c r="L717" s="53">
        <v>0</v>
      </c>
      <c r="M717" s="65">
        <f>K717*L717</f>
        <v>0</v>
      </c>
      <c r="N717" s="17"/>
      <c r="Z717" s="33">
        <f>IF(AQ717="5",BJ717,0)</f>
        <v>0</v>
      </c>
      <c r="AB717" s="33">
        <f>IF(AQ717="1",BH717,0)</f>
        <v>0</v>
      </c>
      <c r="AC717" s="33">
        <f>IF(AQ717="1",BI717,0)</f>
        <v>0</v>
      </c>
      <c r="AD717" s="33">
        <f>IF(AQ717="7",BH717,0)</f>
        <v>0</v>
      </c>
      <c r="AE717" s="33">
        <f>IF(AQ717="7",BI717,0)</f>
        <v>0</v>
      </c>
      <c r="AF717" s="33">
        <f>IF(AQ717="2",BH717,0)</f>
        <v>0</v>
      </c>
      <c r="AG717" s="33">
        <f>IF(AQ717="2",BI717,0)</f>
        <v>0</v>
      </c>
      <c r="AH717" s="33">
        <f>IF(AQ717="0",BJ717,0)</f>
        <v>0</v>
      </c>
      <c r="AI717" s="58" t="s">
        <v>65</v>
      </c>
      <c r="AJ717" s="53">
        <f>IF(AN717=0,M717,0)</f>
        <v>0</v>
      </c>
      <c r="AK717" s="53">
        <f>IF(AN717=15,M717,0)</f>
        <v>0</v>
      </c>
      <c r="AL717" s="53">
        <f>IF(AN717=21,M717,0)</f>
        <v>0</v>
      </c>
      <c r="AN717" s="33">
        <v>21</v>
      </c>
      <c r="AO717" s="33">
        <f>L717*0</f>
        <v>0</v>
      </c>
      <c r="AP717" s="33">
        <f>L717*(1-0)</f>
        <v>0</v>
      </c>
      <c r="AQ717" s="59" t="s">
        <v>80</v>
      </c>
      <c r="AV717" s="33">
        <f>AW717+AX717</f>
        <v>0</v>
      </c>
      <c r="AW717" s="33">
        <f>K717*AO717</f>
        <v>0</v>
      </c>
      <c r="AX717" s="33">
        <f>K717*AP717</f>
        <v>0</v>
      </c>
      <c r="AY717" s="61" t="s">
        <v>1017</v>
      </c>
      <c r="AZ717" s="61" t="s">
        <v>1036</v>
      </c>
      <c r="BA717" s="58" t="s">
        <v>1041</v>
      </c>
      <c r="BC717" s="33">
        <f>AW717+AX717</f>
        <v>0</v>
      </c>
      <c r="BD717" s="33">
        <f>L717/(100-BE717)*100</f>
        <v>0</v>
      </c>
      <c r="BE717" s="33">
        <v>0</v>
      </c>
      <c r="BF717" s="33">
        <f>717</f>
        <v>717</v>
      </c>
      <c r="BH717" s="53">
        <f>K717*AO717</f>
        <v>0</v>
      </c>
      <c r="BI717" s="53">
        <f>K717*AP717</f>
        <v>0</v>
      </c>
      <c r="BJ717" s="53">
        <f>K717*L717</f>
        <v>0</v>
      </c>
      <c r="BK717" s="53" t="s">
        <v>1046</v>
      </c>
      <c r="BL717" s="33">
        <v>0</v>
      </c>
    </row>
    <row r="718" spans="1:14" ht="12.75">
      <c r="A718" s="17"/>
      <c r="C718" s="48" t="s">
        <v>269</v>
      </c>
      <c r="D718" s="145" t="s">
        <v>962</v>
      </c>
      <c r="E718" s="146"/>
      <c r="F718" s="146"/>
      <c r="G718" s="146"/>
      <c r="H718" s="146"/>
      <c r="I718" s="146"/>
      <c r="J718" s="146"/>
      <c r="K718" s="146"/>
      <c r="L718" s="146"/>
      <c r="M718" s="147"/>
      <c r="N718" s="17"/>
    </row>
    <row r="719" spans="1:14" ht="12.75">
      <c r="A719" s="17"/>
      <c r="D719" s="143" t="s">
        <v>663</v>
      </c>
      <c r="E719" s="144"/>
      <c r="F719" s="144"/>
      <c r="G719" s="144"/>
      <c r="H719" s="144"/>
      <c r="I719" s="144"/>
      <c r="K719" s="75">
        <v>1</v>
      </c>
      <c r="M719" s="14"/>
      <c r="N719" s="17"/>
    </row>
    <row r="720" spans="1:64" ht="12.75">
      <c r="A720" s="38" t="s">
        <v>57</v>
      </c>
      <c r="B720" s="45" t="s">
        <v>65</v>
      </c>
      <c r="C720" s="45" t="s">
        <v>427</v>
      </c>
      <c r="D720" s="141" t="s">
        <v>963</v>
      </c>
      <c r="E720" s="142"/>
      <c r="F720" s="142"/>
      <c r="G720" s="142"/>
      <c r="H720" s="142"/>
      <c r="I720" s="142"/>
      <c r="J720" s="45" t="s">
        <v>976</v>
      </c>
      <c r="K720" s="74">
        <v>1</v>
      </c>
      <c r="L720" s="53">
        <v>0</v>
      </c>
      <c r="M720" s="65">
        <f>K720*L720</f>
        <v>0</v>
      </c>
      <c r="N720" s="17"/>
      <c r="Z720" s="33">
        <f>IF(AQ720="5",BJ720,0)</f>
        <v>0</v>
      </c>
      <c r="AB720" s="33">
        <f>IF(AQ720="1",BH720,0)</f>
        <v>0</v>
      </c>
      <c r="AC720" s="33">
        <f>IF(AQ720="1",BI720,0)</f>
        <v>0</v>
      </c>
      <c r="AD720" s="33">
        <f>IF(AQ720="7",BH720,0)</f>
        <v>0</v>
      </c>
      <c r="AE720" s="33">
        <f>IF(AQ720="7",BI720,0)</f>
        <v>0</v>
      </c>
      <c r="AF720" s="33">
        <f>IF(AQ720="2",BH720,0)</f>
        <v>0</v>
      </c>
      <c r="AG720" s="33">
        <f>IF(AQ720="2",BI720,0)</f>
        <v>0</v>
      </c>
      <c r="AH720" s="33">
        <f>IF(AQ720="0",BJ720,0)</f>
        <v>0</v>
      </c>
      <c r="AI720" s="58" t="s">
        <v>65</v>
      </c>
      <c r="AJ720" s="53">
        <f>IF(AN720=0,M720,0)</f>
        <v>0</v>
      </c>
      <c r="AK720" s="53">
        <f>IF(AN720=15,M720,0)</f>
        <v>0</v>
      </c>
      <c r="AL720" s="53">
        <f>IF(AN720=21,M720,0)</f>
        <v>0</v>
      </c>
      <c r="AN720" s="33">
        <v>21</v>
      </c>
      <c r="AO720" s="33">
        <f>L720*0</f>
        <v>0</v>
      </c>
      <c r="AP720" s="33">
        <f>L720*(1-0)</f>
        <v>0</v>
      </c>
      <c r="AQ720" s="59" t="s">
        <v>80</v>
      </c>
      <c r="AV720" s="33">
        <f>AW720+AX720</f>
        <v>0</v>
      </c>
      <c r="AW720" s="33">
        <f>K720*AO720</f>
        <v>0</v>
      </c>
      <c r="AX720" s="33">
        <f>K720*AP720</f>
        <v>0</v>
      </c>
      <c r="AY720" s="61" t="s">
        <v>1017</v>
      </c>
      <c r="AZ720" s="61" t="s">
        <v>1036</v>
      </c>
      <c r="BA720" s="58" t="s">
        <v>1041</v>
      </c>
      <c r="BC720" s="33">
        <f>AW720+AX720</f>
        <v>0</v>
      </c>
      <c r="BD720" s="33">
        <f>L720/(100-BE720)*100</f>
        <v>0</v>
      </c>
      <c r="BE720" s="33">
        <v>0</v>
      </c>
      <c r="BF720" s="33">
        <f>720</f>
        <v>720</v>
      </c>
      <c r="BH720" s="53">
        <f>K720*AO720</f>
        <v>0</v>
      </c>
      <c r="BI720" s="53">
        <f>K720*AP720</f>
        <v>0</v>
      </c>
      <c r="BJ720" s="53">
        <f>K720*L720</f>
        <v>0</v>
      </c>
      <c r="BK720" s="53" t="s">
        <v>1046</v>
      </c>
      <c r="BL720" s="33">
        <v>0</v>
      </c>
    </row>
    <row r="721" spans="1:14" ht="12.75">
      <c r="A721" s="11"/>
      <c r="B721" s="1"/>
      <c r="C721" s="1"/>
      <c r="D721" s="152" t="s">
        <v>663</v>
      </c>
      <c r="E721" s="153"/>
      <c r="F721" s="153"/>
      <c r="G721" s="153"/>
      <c r="H721" s="153"/>
      <c r="I721" s="153"/>
      <c r="J721" s="1"/>
      <c r="K721" s="76">
        <v>1</v>
      </c>
      <c r="L721" s="1"/>
      <c r="M721" s="57"/>
      <c r="N721" s="17"/>
    </row>
    <row r="722" spans="1:13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32">
        <f>ROUND(M13+M48+M93+M110+M115+M175+M178+M181+M194+M200+M221+M226+M229+M259+M329+M398+M403+M408+M421+M438+M450+M453+M468+M471+M475+M496+M505+M528+M539+M542+M558+M564+M573+M584+M592+M604+M607+M614+M617+M644+M649+M654+M660+M665+M684+M697+M700,1)</f>
        <v>0</v>
      </c>
    </row>
    <row r="723" ht="11.25" customHeight="1">
      <c r="A723" s="25" t="s">
        <v>18</v>
      </c>
    </row>
    <row r="724" spans="1:13" ht="12.75">
      <c r="A724" s="93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</row>
  </sheetData>
  <mergeCells count="738">
    <mergeCell ref="D718:M718"/>
    <mergeCell ref="D719:I719"/>
    <mergeCell ref="D720:I720"/>
    <mergeCell ref="D721:I721"/>
    <mergeCell ref="A724:M724"/>
    <mergeCell ref="D712:I712"/>
    <mergeCell ref="D713:I713"/>
    <mergeCell ref="D714:I714"/>
    <mergeCell ref="D715:I715"/>
    <mergeCell ref="D716:I716"/>
    <mergeCell ref="D717:I717"/>
    <mergeCell ref="D706:I706"/>
    <mergeCell ref="D707:I707"/>
    <mergeCell ref="D708:I708"/>
    <mergeCell ref="D709:I709"/>
    <mergeCell ref="D710:I710"/>
    <mergeCell ref="D711:I711"/>
    <mergeCell ref="D700:I700"/>
    <mergeCell ref="D701:I701"/>
    <mergeCell ref="D702:I702"/>
    <mergeCell ref="D703:I703"/>
    <mergeCell ref="D704:I704"/>
    <mergeCell ref="D705:I705"/>
    <mergeCell ref="D694:I694"/>
    <mergeCell ref="D695:I695"/>
    <mergeCell ref="D696:I696"/>
    <mergeCell ref="D697:I697"/>
    <mergeCell ref="D698:I698"/>
    <mergeCell ref="D699:I699"/>
    <mergeCell ref="D688:I688"/>
    <mergeCell ref="D689:I689"/>
    <mergeCell ref="D690:I690"/>
    <mergeCell ref="D691:I691"/>
    <mergeCell ref="D692:I692"/>
    <mergeCell ref="D693:I693"/>
    <mergeCell ref="D682:I682"/>
    <mergeCell ref="D683:I683"/>
    <mergeCell ref="D684:I684"/>
    <mergeCell ref="D685:I685"/>
    <mergeCell ref="D686:I686"/>
    <mergeCell ref="D687:I687"/>
    <mergeCell ref="D676:I676"/>
    <mergeCell ref="D677:I677"/>
    <mergeCell ref="D678:I678"/>
    <mergeCell ref="D679:I679"/>
    <mergeCell ref="D680:I680"/>
    <mergeCell ref="D681:I681"/>
    <mergeCell ref="D670:I670"/>
    <mergeCell ref="D671:I671"/>
    <mergeCell ref="D672:I672"/>
    <mergeCell ref="D673:I673"/>
    <mergeCell ref="D674:I674"/>
    <mergeCell ref="D675:I675"/>
    <mergeCell ref="D664:I664"/>
    <mergeCell ref="D665:I665"/>
    <mergeCell ref="D666:I666"/>
    <mergeCell ref="D667:I667"/>
    <mergeCell ref="D668:I668"/>
    <mergeCell ref="D669:I669"/>
    <mergeCell ref="D658:I658"/>
    <mergeCell ref="D659:I659"/>
    <mergeCell ref="D660:I660"/>
    <mergeCell ref="D661:I661"/>
    <mergeCell ref="D662:I662"/>
    <mergeCell ref="D663:I663"/>
    <mergeCell ref="D652:I652"/>
    <mergeCell ref="D653:I653"/>
    <mergeCell ref="D654:I654"/>
    <mergeCell ref="D655:I655"/>
    <mergeCell ref="D656:I656"/>
    <mergeCell ref="D657:I657"/>
    <mergeCell ref="D646:I646"/>
    <mergeCell ref="D647:I647"/>
    <mergeCell ref="D648:I648"/>
    <mergeCell ref="D649:I649"/>
    <mergeCell ref="D650:I650"/>
    <mergeCell ref="D651:I651"/>
    <mergeCell ref="D640:I640"/>
    <mergeCell ref="D641:I641"/>
    <mergeCell ref="D642:I642"/>
    <mergeCell ref="D643:I643"/>
    <mergeCell ref="D644:I644"/>
    <mergeCell ref="D645:I645"/>
    <mergeCell ref="D634:I634"/>
    <mergeCell ref="D635:I635"/>
    <mergeCell ref="D636:I636"/>
    <mergeCell ref="D637:I637"/>
    <mergeCell ref="D638:I638"/>
    <mergeCell ref="D639:I639"/>
    <mergeCell ref="D628:I628"/>
    <mergeCell ref="D629:I629"/>
    <mergeCell ref="D630:I630"/>
    <mergeCell ref="D631:I631"/>
    <mergeCell ref="D632:I632"/>
    <mergeCell ref="D633:I633"/>
    <mergeCell ref="D622:I622"/>
    <mergeCell ref="D623:I623"/>
    <mergeCell ref="D624:I624"/>
    <mergeCell ref="D625:I625"/>
    <mergeCell ref="D626:I626"/>
    <mergeCell ref="D627:I627"/>
    <mergeCell ref="D616:I616"/>
    <mergeCell ref="D617:I617"/>
    <mergeCell ref="D618:I618"/>
    <mergeCell ref="D619:I619"/>
    <mergeCell ref="D620:I620"/>
    <mergeCell ref="D621:I621"/>
    <mergeCell ref="D610:I610"/>
    <mergeCell ref="D611:I611"/>
    <mergeCell ref="D612:I612"/>
    <mergeCell ref="D613:I613"/>
    <mergeCell ref="D614:I614"/>
    <mergeCell ref="D615:I615"/>
    <mergeCell ref="D604:I604"/>
    <mergeCell ref="D605:I605"/>
    <mergeCell ref="D606:I606"/>
    <mergeCell ref="D607:I607"/>
    <mergeCell ref="D608:I608"/>
    <mergeCell ref="D609:M609"/>
    <mergeCell ref="D598:I598"/>
    <mergeCell ref="D599:I599"/>
    <mergeCell ref="D600:I600"/>
    <mergeCell ref="D601:I601"/>
    <mergeCell ref="D602:I602"/>
    <mergeCell ref="D603:I603"/>
    <mergeCell ref="D592:I592"/>
    <mergeCell ref="D593:I593"/>
    <mergeCell ref="D594:I594"/>
    <mergeCell ref="D595:I595"/>
    <mergeCell ref="D596:I596"/>
    <mergeCell ref="D597:I597"/>
    <mergeCell ref="D586:M586"/>
    <mergeCell ref="D587:I587"/>
    <mergeCell ref="D588:I588"/>
    <mergeCell ref="D589:I589"/>
    <mergeCell ref="D590:I590"/>
    <mergeCell ref="D591:I591"/>
    <mergeCell ref="D580:I580"/>
    <mergeCell ref="D581:I581"/>
    <mergeCell ref="D582:I582"/>
    <mergeCell ref="D583:I583"/>
    <mergeCell ref="D584:I584"/>
    <mergeCell ref="D585:I585"/>
    <mergeCell ref="D574:I574"/>
    <mergeCell ref="D575:I575"/>
    <mergeCell ref="D576:I576"/>
    <mergeCell ref="D577:I577"/>
    <mergeCell ref="D578:I578"/>
    <mergeCell ref="D579:I579"/>
    <mergeCell ref="D568:I568"/>
    <mergeCell ref="D569:I569"/>
    <mergeCell ref="D570:I570"/>
    <mergeCell ref="D571:I571"/>
    <mergeCell ref="D572:I572"/>
    <mergeCell ref="D573:I573"/>
    <mergeCell ref="D562:I562"/>
    <mergeCell ref="D563:I563"/>
    <mergeCell ref="D564:I564"/>
    <mergeCell ref="D565:I565"/>
    <mergeCell ref="D566:M566"/>
    <mergeCell ref="D567:I567"/>
    <mergeCell ref="D556:I556"/>
    <mergeCell ref="D557:I557"/>
    <mergeCell ref="D558:I558"/>
    <mergeCell ref="D559:I559"/>
    <mergeCell ref="D560:I560"/>
    <mergeCell ref="D561:I561"/>
    <mergeCell ref="D550:I550"/>
    <mergeCell ref="D551:I551"/>
    <mergeCell ref="D552:I552"/>
    <mergeCell ref="D553:I553"/>
    <mergeCell ref="D554:I554"/>
    <mergeCell ref="D555:I555"/>
    <mergeCell ref="D544:I544"/>
    <mergeCell ref="D545:I545"/>
    <mergeCell ref="D546:I546"/>
    <mergeCell ref="D547:I547"/>
    <mergeCell ref="D548:I548"/>
    <mergeCell ref="D549:I549"/>
    <mergeCell ref="D538:I538"/>
    <mergeCell ref="D539:I539"/>
    <mergeCell ref="D540:I540"/>
    <mergeCell ref="D541:I541"/>
    <mergeCell ref="D542:I542"/>
    <mergeCell ref="D543:I543"/>
    <mergeCell ref="D532:I532"/>
    <mergeCell ref="D533:I533"/>
    <mergeCell ref="D534:I534"/>
    <mergeCell ref="D535:I535"/>
    <mergeCell ref="D536:I536"/>
    <mergeCell ref="D537:I537"/>
    <mergeCell ref="D526:I526"/>
    <mergeCell ref="D527:I527"/>
    <mergeCell ref="D528:I528"/>
    <mergeCell ref="D529:I529"/>
    <mergeCell ref="D530:I530"/>
    <mergeCell ref="D531:I531"/>
    <mergeCell ref="D520:I520"/>
    <mergeCell ref="D521:I521"/>
    <mergeCell ref="D522:I522"/>
    <mergeCell ref="D523:I523"/>
    <mergeCell ref="D524:I524"/>
    <mergeCell ref="D525:I525"/>
    <mergeCell ref="D514:I514"/>
    <mergeCell ref="D515:I515"/>
    <mergeCell ref="D516:I516"/>
    <mergeCell ref="D517:I517"/>
    <mergeCell ref="D518:I518"/>
    <mergeCell ref="D519:I519"/>
    <mergeCell ref="D508:I508"/>
    <mergeCell ref="D509:I509"/>
    <mergeCell ref="D510:I510"/>
    <mergeCell ref="D511:I511"/>
    <mergeCell ref="D512:I512"/>
    <mergeCell ref="D513:I513"/>
    <mergeCell ref="D502:I502"/>
    <mergeCell ref="D503:I503"/>
    <mergeCell ref="D504:I504"/>
    <mergeCell ref="D505:I505"/>
    <mergeCell ref="D506:I506"/>
    <mergeCell ref="D507:I507"/>
    <mergeCell ref="D496:I496"/>
    <mergeCell ref="D497:I497"/>
    <mergeCell ref="D498:I498"/>
    <mergeCell ref="D499:I499"/>
    <mergeCell ref="D500:I500"/>
    <mergeCell ref="D501:I501"/>
    <mergeCell ref="D490:I490"/>
    <mergeCell ref="D491:I491"/>
    <mergeCell ref="D492:I492"/>
    <mergeCell ref="D493:I493"/>
    <mergeCell ref="D494:I494"/>
    <mergeCell ref="D495:I495"/>
    <mergeCell ref="D484:M484"/>
    <mergeCell ref="D485:I485"/>
    <mergeCell ref="D486:I486"/>
    <mergeCell ref="D487:I487"/>
    <mergeCell ref="D488:M488"/>
    <mergeCell ref="D489:I489"/>
    <mergeCell ref="D478:I478"/>
    <mergeCell ref="D479:I479"/>
    <mergeCell ref="D480:M480"/>
    <mergeCell ref="D481:I481"/>
    <mergeCell ref="D482:I482"/>
    <mergeCell ref="D483:I483"/>
    <mergeCell ref="D472:I472"/>
    <mergeCell ref="D473:I473"/>
    <mergeCell ref="D474:I474"/>
    <mergeCell ref="D475:I475"/>
    <mergeCell ref="D476:I476"/>
    <mergeCell ref="D477:I477"/>
    <mergeCell ref="D466:I466"/>
    <mergeCell ref="D467:I467"/>
    <mergeCell ref="D468:I468"/>
    <mergeCell ref="D469:I469"/>
    <mergeCell ref="D470:I470"/>
    <mergeCell ref="D471:I471"/>
    <mergeCell ref="D460:I460"/>
    <mergeCell ref="D461:I461"/>
    <mergeCell ref="D462:I462"/>
    <mergeCell ref="D463:I463"/>
    <mergeCell ref="D464:I464"/>
    <mergeCell ref="D465:I465"/>
    <mergeCell ref="D454:I454"/>
    <mergeCell ref="D455:I455"/>
    <mergeCell ref="D456:I456"/>
    <mergeCell ref="D457:I457"/>
    <mergeCell ref="D458:I458"/>
    <mergeCell ref="D459:I459"/>
    <mergeCell ref="D448:I448"/>
    <mergeCell ref="D449:I449"/>
    <mergeCell ref="D450:I450"/>
    <mergeCell ref="D451:I451"/>
    <mergeCell ref="D452:I452"/>
    <mergeCell ref="D453:I453"/>
    <mergeCell ref="D442:I442"/>
    <mergeCell ref="D443:I443"/>
    <mergeCell ref="D444:I444"/>
    <mergeCell ref="D445:I445"/>
    <mergeCell ref="D446:I446"/>
    <mergeCell ref="D447:I447"/>
    <mergeCell ref="D436:I436"/>
    <mergeCell ref="D437:I437"/>
    <mergeCell ref="D438:I438"/>
    <mergeCell ref="D439:I439"/>
    <mergeCell ref="D440:I440"/>
    <mergeCell ref="D441:I441"/>
    <mergeCell ref="D430:I430"/>
    <mergeCell ref="D431:I431"/>
    <mergeCell ref="D432:I432"/>
    <mergeCell ref="D433:I433"/>
    <mergeCell ref="D434:I434"/>
    <mergeCell ref="D435:I435"/>
    <mergeCell ref="D424:I424"/>
    <mergeCell ref="D425:I425"/>
    <mergeCell ref="D426:I426"/>
    <mergeCell ref="D427:I427"/>
    <mergeCell ref="D428:I428"/>
    <mergeCell ref="D429:I429"/>
    <mergeCell ref="D418:I418"/>
    <mergeCell ref="D419:I419"/>
    <mergeCell ref="D420:I420"/>
    <mergeCell ref="D421:I421"/>
    <mergeCell ref="D422:I422"/>
    <mergeCell ref="D423:I423"/>
    <mergeCell ref="D412:I412"/>
    <mergeCell ref="D413:I413"/>
    <mergeCell ref="D414:I414"/>
    <mergeCell ref="D415:I415"/>
    <mergeCell ref="D416:I416"/>
    <mergeCell ref="D417:I417"/>
    <mergeCell ref="D406:I406"/>
    <mergeCell ref="D407:I407"/>
    <mergeCell ref="D408:I408"/>
    <mergeCell ref="D409:I409"/>
    <mergeCell ref="D410:I410"/>
    <mergeCell ref="D411:I411"/>
    <mergeCell ref="D400:I400"/>
    <mergeCell ref="D401:I401"/>
    <mergeCell ref="D402:I402"/>
    <mergeCell ref="D403:I403"/>
    <mergeCell ref="D404:I404"/>
    <mergeCell ref="D405:I405"/>
    <mergeCell ref="D394:I394"/>
    <mergeCell ref="D395:I395"/>
    <mergeCell ref="D396:I396"/>
    <mergeCell ref="D397:I397"/>
    <mergeCell ref="D398:I398"/>
    <mergeCell ref="D399:I399"/>
    <mergeCell ref="D388:M388"/>
    <mergeCell ref="D389:I389"/>
    <mergeCell ref="D390:I390"/>
    <mergeCell ref="D391:I391"/>
    <mergeCell ref="D392:I392"/>
    <mergeCell ref="D393:I393"/>
    <mergeCell ref="D382:M382"/>
    <mergeCell ref="D383:I383"/>
    <mergeCell ref="D384:I384"/>
    <mergeCell ref="D385:M385"/>
    <mergeCell ref="D386:I386"/>
    <mergeCell ref="D387:I387"/>
    <mergeCell ref="D376:M376"/>
    <mergeCell ref="D377:I377"/>
    <mergeCell ref="D378:I378"/>
    <mergeCell ref="D379:I379"/>
    <mergeCell ref="D380:I380"/>
    <mergeCell ref="D381:I381"/>
    <mergeCell ref="D370:M370"/>
    <mergeCell ref="D371:I371"/>
    <mergeCell ref="D372:I372"/>
    <mergeCell ref="D373:M373"/>
    <mergeCell ref="D374:I374"/>
    <mergeCell ref="D375:I375"/>
    <mergeCell ref="D364:M364"/>
    <mergeCell ref="D365:I365"/>
    <mergeCell ref="D366:I366"/>
    <mergeCell ref="D367:M367"/>
    <mergeCell ref="D368:I368"/>
    <mergeCell ref="D369:I369"/>
    <mergeCell ref="D358:I358"/>
    <mergeCell ref="D359:I359"/>
    <mergeCell ref="D360:I360"/>
    <mergeCell ref="D361:M361"/>
    <mergeCell ref="D362:I362"/>
    <mergeCell ref="D363:I363"/>
    <mergeCell ref="D352:M352"/>
    <mergeCell ref="D353:I353"/>
    <mergeCell ref="D354:I354"/>
    <mergeCell ref="D355:I355"/>
    <mergeCell ref="D356:M356"/>
    <mergeCell ref="D357:I357"/>
    <mergeCell ref="D346:I346"/>
    <mergeCell ref="D347:M347"/>
    <mergeCell ref="D348:I348"/>
    <mergeCell ref="D349:I349"/>
    <mergeCell ref="D350:I350"/>
    <mergeCell ref="D351:I351"/>
    <mergeCell ref="D340:I340"/>
    <mergeCell ref="D341:I341"/>
    <mergeCell ref="D342:I342"/>
    <mergeCell ref="D343:I343"/>
    <mergeCell ref="D344:I344"/>
    <mergeCell ref="D345:I345"/>
    <mergeCell ref="D334:I334"/>
    <mergeCell ref="D335:I335"/>
    <mergeCell ref="D336:I336"/>
    <mergeCell ref="D337:I337"/>
    <mergeCell ref="D338:I338"/>
    <mergeCell ref="D339:I339"/>
    <mergeCell ref="D328:I328"/>
    <mergeCell ref="D329:I329"/>
    <mergeCell ref="D330:I330"/>
    <mergeCell ref="D331:I331"/>
    <mergeCell ref="D332:I332"/>
    <mergeCell ref="D333:I333"/>
    <mergeCell ref="D322:I322"/>
    <mergeCell ref="D323:I323"/>
    <mergeCell ref="D324:I324"/>
    <mergeCell ref="D325:I325"/>
    <mergeCell ref="D326:I326"/>
    <mergeCell ref="D327:I327"/>
    <mergeCell ref="D316:I316"/>
    <mergeCell ref="D317:I317"/>
    <mergeCell ref="D318:I318"/>
    <mergeCell ref="D319:I319"/>
    <mergeCell ref="D320:I320"/>
    <mergeCell ref="D321:I321"/>
    <mergeCell ref="D310:I310"/>
    <mergeCell ref="D311:I311"/>
    <mergeCell ref="D312:I312"/>
    <mergeCell ref="D313:I313"/>
    <mergeCell ref="D314:I314"/>
    <mergeCell ref="D315:I315"/>
    <mergeCell ref="D304:I304"/>
    <mergeCell ref="D305:I305"/>
    <mergeCell ref="D306:I306"/>
    <mergeCell ref="D307:I307"/>
    <mergeCell ref="D308:I308"/>
    <mergeCell ref="D309:I309"/>
    <mergeCell ref="D298:I298"/>
    <mergeCell ref="D299:I299"/>
    <mergeCell ref="D300:I300"/>
    <mergeCell ref="D301:I301"/>
    <mergeCell ref="D302:I302"/>
    <mergeCell ref="D303:I303"/>
    <mergeCell ref="D292:I292"/>
    <mergeCell ref="D293:I293"/>
    <mergeCell ref="D294:I294"/>
    <mergeCell ref="D295:I295"/>
    <mergeCell ref="D296:I296"/>
    <mergeCell ref="D297:I297"/>
    <mergeCell ref="D286:I286"/>
    <mergeCell ref="D287:I287"/>
    <mergeCell ref="D288:I288"/>
    <mergeCell ref="D289:I289"/>
    <mergeCell ref="D290:I290"/>
    <mergeCell ref="D291:I291"/>
    <mergeCell ref="D280:I280"/>
    <mergeCell ref="D281:I281"/>
    <mergeCell ref="D282:I282"/>
    <mergeCell ref="D283:I283"/>
    <mergeCell ref="D284:I284"/>
    <mergeCell ref="D285:I285"/>
    <mergeCell ref="D274:I274"/>
    <mergeCell ref="D275:I275"/>
    <mergeCell ref="D276:I276"/>
    <mergeCell ref="D277:I277"/>
    <mergeCell ref="D278:I278"/>
    <mergeCell ref="D279:I279"/>
    <mergeCell ref="D268:I268"/>
    <mergeCell ref="D269:I269"/>
    <mergeCell ref="D270:I270"/>
    <mergeCell ref="D271:I271"/>
    <mergeCell ref="D272:I272"/>
    <mergeCell ref="D273:I273"/>
    <mergeCell ref="D262:I262"/>
    <mergeCell ref="D263:I263"/>
    <mergeCell ref="D264:I264"/>
    <mergeCell ref="D265:I265"/>
    <mergeCell ref="D266:I266"/>
    <mergeCell ref="D267:I267"/>
    <mergeCell ref="D256:I256"/>
    <mergeCell ref="D257:I257"/>
    <mergeCell ref="D258:I258"/>
    <mergeCell ref="D259:I259"/>
    <mergeCell ref="D260:I260"/>
    <mergeCell ref="D261:I261"/>
    <mergeCell ref="D250:I250"/>
    <mergeCell ref="D251:I251"/>
    <mergeCell ref="D252:I252"/>
    <mergeCell ref="D253:I253"/>
    <mergeCell ref="D254:I254"/>
    <mergeCell ref="D255:I255"/>
    <mergeCell ref="D244:I244"/>
    <mergeCell ref="D245:I245"/>
    <mergeCell ref="D246:I246"/>
    <mergeCell ref="D247:I247"/>
    <mergeCell ref="D248:I248"/>
    <mergeCell ref="D249:M249"/>
    <mergeCell ref="D238:M238"/>
    <mergeCell ref="D239:I239"/>
    <mergeCell ref="D240:I240"/>
    <mergeCell ref="D241:I241"/>
    <mergeCell ref="D242:I242"/>
    <mergeCell ref="D243:I243"/>
    <mergeCell ref="D232:I232"/>
    <mergeCell ref="D233:I233"/>
    <mergeCell ref="D234:I234"/>
    <mergeCell ref="D235:I235"/>
    <mergeCell ref="D236:I236"/>
    <mergeCell ref="D237:I237"/>
    <mergeCell ref="D226:I226"/>
    <mergeCell ref="D227:I227"/>
    <mergeCell ref="D228:I228"/>
    <mergeCell ref="D229:I229"/>
    <mergeCell ref="D230:I230"/>
    <mergeCell ref="D231:I231"/>
    <mergeCell ref="D220:I220"/>
    <mergeCell ref="D221:I221"/>
    <mergeCell ref="D222:I222"/>
    <mergeCell ref="D223:I223"/>
    <mergeCell ref="D224:I224"/>
    <mergeCell ref="D225:I225"/>
    <mergeCell ref="D214:I214"/>
    <mergeCell ref="D215:I215"/>
    <mergeCell ref="D216:I216"/>
    <mergeCell ref="D217:I217"/>
    <mergeCell ref="D218:I218"/>
    <mergeCell ref="D219:I219"/>
    <mergeCell ref="D208:I208"/>
    <mergeCell ref="D209:I209"/>
    <mergeCell ref="D210:I210"/>
    <mergeCell ref="D211:I211"/>
    <mergeCell ref="D212:I212"/>
    <mergeCell ref="D213:I213"/>
    <mergeCell ref="D202:M202"/>
    <mergeCell ref="D203:I203"/>
    <mergeCell ref="D204:I204"/>
    <mergeCell ref="D205:I205"/>
    <mergeCell ref="D206:I206"/>
    <mergeCell ref="D207:I207"/>
    <mergeCell ref="D196:I196"/>
    <mergeCell ref="D197:I197"/>
    <mergeCell ref="D198:I198"/>
    <mergeCell ref="D199:I199"/>
    <mergeCell ref="D200:I200"/>
    <mergeCell ref="D201:I201"/>
    <mergeCell ref="D190:I190"/>
    <mergeCell ref="D191:I191"/>
    <mergeCell ref="D192:I192"/>
    <mergeCell ref="D193:I193"/>
    <mergeCell ref="D194:I194"/>
    <mergeCell ref="D195:I195"/>
    <mergeCell ref="D184:I184"/>
    <mergeCell ref="D185:I185"/>
    <mergeCell ref="D186:I186"/>
    <mergeCell ref="D187:I187"/>
    <mergeCell ref="D188:I188"/>
    <mergeCell ref="D189:I189"/>
    <mergeCell ref="D178:I178"/>
    <mergeCell ref="D179:I179"/>
    <mergeCell ref="D180:I180"/>
    <mergeCell ref="D181:I181"/>
    <mergeCell ref="D182:I182"/>
    <mergeCell ref="D183:I183"/>
    <mergeCell ref="D172:I172"/>
    <mergeCell ref="D173:I173"/>
    <mergeCell ref="D174:I174"/>
    <mergeCell ref="D175:I175"/>
    <mergeCell ref="D176:I176"/>
    <mergeCell ref="D177:I177"/>
    <mergeCell ref="D166:I166"/>
    <mergeCell ref="D167:I167"/>
    <mergeCell ref="D168:I168"/>
    <mergeCell ref="D169:I169"/>
    <mergeCell ref="D170:I170"/>
    <mergeCell ref="D171:I171"/>
    <mergeCell ref="D160:I160"/>
    <mergeCell ref="D161:I161"/>
    <mergeCell ref="D162:I162"/>
    <mergeCell ref="D163:I163"/>
    <mergeCell ref="D164:I164"/>
    <mergeCell ref="D165:I165"/>
    <mergeCell ref="D154:I154"/>
    <mergeCell ref="D155:I155"/>
    <mergeCell ref="D156:I156"/>
    <mergeCell ref="D157:I157"/>
    <mergeCell ref="D158:I158"/>
    <mergeCell ref="D159:I159"/>
    <mergeCell ref="D148:I148"/>
    <mergeCell ref="D149:I149"/>
    <mergeCell ref="D150:I150"/>
    <mergeCell ref="D151:I151"/>
    <mergeCell ref="D152:I152"/>
    <mergeCell ref="D153:I153"/>
    <mergeCell ref="D142:I142"/>
    <mergeCell ref="D143:I143"/>
    <mergeCell ref="D144:I144"/>
    <mergeCell ref="D145:I145"/>
    <mergeCell ref="D146:I146"/>
    <mergeCell ref="D147:I147"/>
    <mergeCell ref="D136:I136"/>
    <mergeCell ref="D137:I137"/>
    <mergeCell ref="D138:I138"/>
    <mergeCell ref="D139:I139"/>
    <mergeCell ref="D140:I140"/>
    <mergeCell ref="D141:I141"/>
    <mergeCell ref="D130:I130"/>
    <mergeCell ref="D131:I131"/>
    <mergeCell ref="D132:I132"/>
    <mergeCell ref="D133:I133"/>
    <mergeCell ref="D134:I134"/>
    <mergeCell ref="D135:I135"/>
    <mergeCell ref="D124:I124"/>
    <mergeCell ref="D125:I125"/>
    <mergeCell ref="D126:I126"/>
    <mergeCell ref="D127:I127"/>
    <mergeCell ref="D128:I128"/>
    <mergeCell ref="D129:I129"/>
    <mergeCell ref="D118:I118"/>
    <mergeCell ref="D119:I119"/>
    <mergeCell ref="D120:I120"/>
    <mergeCell ref="D121:I121"/>
    <mergeCell ref="D122:I122"/>
    <mergeCell ref="D123:I123"/>
    <mergeCell ref="D112:I112"/>
    <mergeCell ref="D113:I113"/>
    <mergeCell ref="D114:I114"/>
    <mergeCell ref="D115:I115"/>
    <mergeCell ref="D116:I116"/>
    <mergeCell ref="D117:I117"/>
    <mergeCell ref="D106:I106"/>
    <mergeCell ref="D107:I107"/>
    <mergeCell ref="D108:I108"/>
    <mergeCell ref="D109:I109"/>
    <mergeCell ref="D110:I110"/>
    <mergeCell ref="D111:I111"/>
    <mergeCell ref="D100:I100"/>
    <mergeCell ref="D101:I101"/>
    <mergeCell ref="D102:I102"/>
    <mergeCell ref="D103:I103"/>
    <mergeCell ref="D104:I104"/>
    <mergeCell ref="D105:I105"/>
    <mergeCell ref="D94:I94"/>
    <mergeCell ref="D95:I95"/>
    <mergeCell ref="D96:I96"/>
    <mergeCell ref="D97:I97"/>
    <mergeCell ref="D98:I98"/>
    <mergeCell ref="D99:I99"/>
    <mergeCell ref="D88:I88"/>
    <mergeCell ref="D89:I89"/>
    <mergeCell ref="D90:I90"/>
    <mergeCell ref="D91:I91"/>
    <mergeCell ref="D92:I92"/>
    <mergeCell ref="D93:I93"/>
    <mergeCell ref="D82:I82"/>
    <mergeCell ref="D83:I83"/>
    <mergeCell ref="D84:I84"/>
    <mergeCell ref="D85:I85"/>
    <mergeCell ref="D86:I86"/>
    <mergeCell ref="D87:I87"/>
    <mergeCell ref="D76:I76"/>
    <mergeCell ref="D77:I77"/>
    <mergeCell ref="D78:I78"/>
    <mergeCell ref="D79:I79"/>
    <mergeCell ref="D80:I80"/>
    <mergeCell ref="D81:I81"/>
    <mergeCell ref="D70:I70"/>
    <mergeCell ref="D71:I71"/>
    <mergeCell ref="D72:I72"/>
    <mergeCell ref="D73:I73"/>
    <mergeCell ref="D74:I74"/>
    <mergeCell ref="D75:I75"/>
    <mergeCell ref="D64:I64"/>
    <mergeCell ref="D65:I65"/>
    <mergeCell ref="D66:I66"/>
    <mergeCell ref="D67:I67"/>
    <mergeCell ref="D68:I68"/>
    <mergeCell ref="D69:I69"/>
    <mergeCell ref="D58:I58"/>
    <mergeCell ref="D59:I59"/>
    <mergeCell ref="D60:I60"/>
    <mergeCell ref="D61:I61"/>
    <mergeCell ref="D62:I62"/>
    <mergeCell ref="D63:I63"/>
    <mergeCell ref="D52:I52"/>
    <mergeCell ref="D53:I53"/>
    <mergeCell ref="D54:I54"/>
    <mergeCell ref="D55:I55"/>
    <mergeCell ref="D56:I56"/>
    <mergeCell ref="D57:I57"/>
    <mergeCell ref="D46:I46"/>
    <mergeCell ref="D47:I47"/>
    <mergeCell ref="D48:I48"/>
    <mergeCell ref="D49:I49"/>
    <mergeCell ref="D50:I50"/>
    <mergeCell ref="D51:I51"/>
    <mergeCell ref="D40:I40"/>
    <mergeCell ref="D41:I41"/>
    <mergeCell ref="D42:I42"/>
    <mergeCell ref="D43:I43"/>
    <mergeCell ref="D44:I44"/>
    <mergeCell ref="D45:I45"/>
    <mergeCell ref="D34:I34"/>
    <mergeCell ref="D35:M35"/>
    <mergeCell ref="D36:I36"/>
    <mergeCell ref="D37:I37"/>
    <mergeCell ref="D38:I38"/>
    <mergeCell ref="D39:I39"/>
    <mergeCell ref="D28:I28"/>
    <mergeCell ref="D29:I29"/>
    <mergeCell ref="D30:I30"/>
    <mergeCell ref="D31:I31"/>
    <mergeCell ref="D32:I32"/>
    <mergeCell ref="D33:I33"/>
    <mergeCell ref="D22:I22"/>
    <mergeCell ref="D23:I23"/>
    <mergeCell ref="D24:I24"/>
    <mergeCell ref="D25:I25"/>
    <mergeCell ref="D26:I26"/>
    <mergeCell ref="D27:I27"/>
    <mergeCell ref="D16:I16"/>
    <mergeCell ref="D17:I17"/>
    <mergeCell ref="D18:I18"/>
    <mergeCell ref="D19:I19"/>
    <mergeCell ref="D20:I20"/>
    <mergeCell ref="D21:I21"/>
    <mergeCell ref="D10:I10"/>
    <mergeCell ref="D11:I11"/>
    <mergeCell ref="D12:I12"/>
    <mergeCell ref="D13:I13"/>
    <mergeCell ref="D14:I14"/>
    <mergeCell ref="D15:I15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77"/>
      <c r="B1" s="1"/>
      <c r="C1" s="80" t="s">
        <v>1049</v>
      </c>
      <c r="D1" s="81"/>
      <c r="E1" s="81"/>
      <c r="F1" s="81"/>
      <c r="G1" s="81"/>
      <c r="H1" s="81"/>
      <c r="I1" s="81"/>
    </row>
    <row r="2" spans="1:10" ht="12.75">
      <c r="A2" s="82" t="s">
        <v>0</v>
      </c>
      <c r="B2" s="83"/>
      <c r="C2" s="86" t="str">
        <f>'Stavební rozpočet'!D2</f>
        <v>Rekonstrukce kanalizace a zpevněných ploch Hlavní náměstí 9-12; Krnov</v>
      </c>
      <c r="D2" s="87"/>
      <c r="E2" s="89" t="s">
        <v>32</v>
      </c>
      <c r="F2" s="89" t="str">
        <f>'Stavební rozpočet'!I2</f>
        <v> </v>
      </c>
      <c r="G2" s="83"/>
      <c r="H2" s="89" t="s">
        <v>52</v>
      </c>
      <c r="I2" s="90"/>
      <c r="J2" s="17"/>
    </row>
    <row r="3" spans="1:10" ht="25.7" customHeight="1">
      <c r="A3" s="84"/>
      <c r="B3" s="85"/>
      <c r="C3" s="88"/>
      <c r="D3" s="88"/>
      <c r="E3" s="85"/>
      <c r="F3" s="85"/>
      <c r="G3" s="85"/>
      <c r="H3" s="85"/>
      <c r="I3" s="91"/>
      <c r="J3" s="17"/>
    </row>
    <row r="4" spans="1:10" ht="12.75">
      <c r="A4" s="92" t="s">
        <v>1</v>
      </c>
      <c r="B4" s="85"/>
      <c r="C4" s="93" t="str">
        <f>'Stavební rozpočet'!D4</f>
        <v xml:space="preserve"> </v>
      </c>
      <c r="D4" s="85"/>
      <c r="E4" s="93" t="s">
        <v>33</v>
      </c>
      <c r="F4" s="93" t="str">
        <f>'Stavební rozpočet'!I4</f>
        <v>hProjekce - Libor Horák</v>
      </c>
      <c r="G4" s="85"/>
      <c r="H4" s="93" t="s">
        <v>52</v>
      </c>
      <c r="I4" s="94" t="s">
        <v>56</v>
      </c>
      <c r="J4" s="17"/>
    </row>
    <row r="5" spans="1:10" ht="12.75">
      <c r="A5" s="84"/>
      <c r="B5" s="85"/>
      <c r="C5" s="85"/>
      <c r="D5" s="85"/>
      <c r="E5" s="85"/>
      <c r="F5" s="85"/>
      <c r="G5" s="85"/>
      <c r="H5" s="85"/>
      <c r="I5" s="91"/>
      <c r="J5" s="17"/>
    </row>
    <row r="6" spans="1:10" ht="12.75">
      <c r="A6" s="92" t="s">
        <v>2</v>
      </c>
      <c r="B6" s="85"/>
      <c r="C6" s="93" t="str">
        <f>'Stavební rozpočet'!D6</f>
        <v>Krnov</v>
      </c>
      <c r="D6" s="85"/>
      <c r="E6" s="93" t="s">
        <v>34</v>
      </c>
      <c r="F6" s="93" t="str">
        <f>'Stavební rozpočet'!I6</f>
        <v> </v>
      </c>
      <c r="G6" s="85"/>
      <c r="H6" s="93" t="s">
        <v>52</v>
      </c>
      <c r="I6" s="94"/>
      <c r="J6" s="17"/>
    </row>
    <row r="7" spans="1:10" ht="12.75">
      <c r="A7" s="84"/>
      <c r="B7" s="85"/>
      <c r="C7" s="85"/>
      <c r="D7" s="85"/>
      <c r="E7" s="85"/>
      <c r="F7" s="85"/>
      <c r="G7" s="85"/>
      <c r="H7" s="85"/>
      <c r="I7" s="91"/>
      <c r="J7" s="17"/>
    </row>
    <row r="8" spans="1:10" ht="12.75">
      <c r="A8" s="92" t="s">
        <v>3</v>
      </c>
      <c r="B8" s="85"/>
      <c r="C8" s="93" t="str">
        <f>'Stavební rozpočet'!G4</f>
        <v>08.11.2021</v>
      </c>
      <c r="D8" s="85"/>
      <c r="E8" s="93" t="s">
        <v>35</v>
      </c>
      <c r="F8" s="93" t="str">
        <f>'Stavební rozpočet'!G6</f>
        <v xml:space="preserve"> </v>
      </c>
      <c r="G8" s="85"/>
      <c r="H8" s="95" t="s">
        <v>53</v>
      </c>
      <c r="I8" s="94" t="s">
        <v>182</v>
      </c>
      <c r="J8" s="17"/>
    </row>
    <row r="9" spans="1:10" ht="12.75">
      <c r="A9" s="84"/>
      <c r="B9" s="85"/>
      <c r="C9" s="85"/>
      <c r="D9" s="85"/>
      <c r="E9" s="85"/>
      <c r="F9" s="85"/>
      <c r="G9" s="85"/>
      <c r="H9" s="85"/>
      <c r="I9" s="91"/>
      <c r="J9" s="17"/>
    </row>
    <row r="10" spans="1:10" ht="12.75">
      <c r="A10" s="92" t="s">
        <v>4</v>
      </c>
      <c r="B10" s="85"/>
      <c r="C10" s="93" t="str">
        <f>'Stavební rozpočet'!D8</f>
        <v xml:space="preserve"> </v>
      </c>
      <c r="D10" s="85"/>
      <c r="E10" s="93" t="s">
        <v>36</v>
      </c>
      <c r="F10" s="93" t="str">
        <f>'Stavební rozpočet'!I8</f>
        <v> </v>
      </c>
      <c r="G10" s="85"/>
      <c r="H10" s="95" t="s">
        <v>54</v>
      </c>
      <c r="I10" s="98" t="str">
        <f>'Stavební rozpočet'!G8</f>
        <v>08.11.2021</v>
      </c>
      <c r="J10" s="17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9"/>
      <c r="J11" s="17"/>
    </row>
    <row r="12" spans="1:9" ht="23.45" customHeight="1">
      <c r="A12" s="100" t="s">
        <v>5</v>
      </c>
      <c r="B12" s="101"/>
      <c r="C12" s="101"/>
      <c r="D12" s="101"/>
      <c r="E12" s="101"/>
      <c r="F12" s="101"/>
      <c r="G12" s="101"/>
      <c r="H12" s="101"/>
      <c r="I12" s="101"/>
    </row>
    <row r="13" spans="1:10" ht="26.45" customHeight="1">
      <c r="A13" s="2" t="s">
        <v>6</v>
      </c>
      <c r="B13" s="102" t="s">
        <v>19</v>
      </c>
      <c r="C13" s="103"/>
      <c r="D13" s="2" t="s">
        <v>23</v>
      </c>
      <c r="E13" s="102" t="s">
        <v>37</v>
      </c>
      <c r="F13" s="103"/>
      <c r="G13" s="2" t="s">
        <v>38</v>
      </c>
      <c r="H13" s="102" t="s">
        <v>55</v>
      </c>
      <c r="I13" s="103"/>
      <c r="J13" s="17"/>
    </row>
    <row r="14" spans="1:10" ht="15.2" customHeight="1">
      <c r="A14" s="3" t="s">
        <v>7</v>
      </c>
      <c r="B14" s="8" t="s">
        <v>20</v>
      </c>
      <c r="C14" s="12">
        <f>SUM('Stavební rozpočet (IO 01)'!AB12:AB721)</f>
        <v>0</v>
      </c>
      <c r="D14" s="104" t="s">
        <v>24</v>
      </c>
      <c r="E14" s="105"/>
      <c r="F14" s="12">
        <v>0</v>
      </c>
      <c r="G14" s="104" t="s">
        <v>39</v>
      </c>
      <c r="H14" s="105"/>
      <c r="I14" s="12">
        <v>0</v>
      </c>
      <c r="J14" s="17"/>
    </row>
    <row r="15" spans="1:10" ht="15.2" customHeight="1">
      <c r="A15" s="4"/>
      <c r="B15" s="8" t="s">
        <v>21</v>
      </c>
      <c r="C15" s="12">
        <f>SUM('Stavební rozpočet (IO 01)'!AC12:AC721)</f>
        <v>0</v>
      </c>
      <c r="D15" s="104" t="s">
        <v>25</v>
      </c>
      <c r="E15" s="105"/>
      <c r="F15" s="12">
        <v>0</v>
      </c>
      <c r="G15" s="104" t="s">
        <v>40</v>
      </c>
      <c r="H15" s="105"/>
      <c r="I15" s="12">
        <v>0</v>
      </c>
      <c r="J15" s="17"/>
    </row>
    <row r="16" spans="1:10" ht="15.2" customHeight="1">
      <c r="A16" s="3" t="s">
        <v>8</v>
      </c>
      <c r="B16" s="8" t="s">
        <v>20</v>
      </c>
      <c r="C16" s="12">
        <f>SUM('Stavební rozpočet (IO 01)'!AD12:AD721)</f>
        <v>0</v>
      </c>
      <c r="D16" s="104" t="s">
        <v>26</v>
      </c>
      <c r="E16" s="105"/>
      <c r="F16" s="12">
        <v>0</v>
      </c>
      <c r="G16" s="104" t="s">
        <v>41</v>
      </c>
      <c r="H16" s="105"/>
      <c r="I16" s="12">
        <v>0</v>
      </c>
      <c r="J16" s="17"/>
    </row>
    <row r="17" spans="1:10" ht="15.2" customHeight="1">
      <c r="A17" s="4"/>
      <c r="B17" s="8" t="s">
        <v>21</v>
      </c>
      <c r="C17" s="12">
        <f>SUM('Stavební rozpočet (IO 01)'!AE12:AE721)</f>
        <v>0</v>
      </c>
      <c r="D17" s="104"/>
      <c r="E17" s="105"/>
      <c r="F17" s="13"/>
      <c r="G17" s="104" t="s">
        <v>42</v>
      </c>
      <c r="H17" s="105"/>
      <c r="I17" s="12">
        <v>0</v>
      </c>
      <c r="J17" s="17"/>
    </row>
    <row r="18" spans="1:10" ht="15.2" customHeight="1">
      <c r="A18" s="3" t="s">
        <v>9</v>
      </c>
      <c r="B18" s="8" t="s">
        <v>20</v>
      </c>
      <c r="C18" s="12">
        <f>SUM('Stavební rozpočet (IO 01)'!AF12:AF721)</f>
        <v>0</v>
      </c>
      <c r="D18" s="104"/>
      <c r="E18" s="105"/>
      <c r="F18" s="13"/>
      <c r="G18" s="104" t="s">
        <v>43</v>
      </c>
      <c r="H18" s="105"/>
      <c r="I18" s="12">
        <v>0</v>
      </c>
      <c r="J18" s="17"/>
    </row>
    <row r="19" spans="1:10" ht="15.2" customHeight="1">
      <c r="A19" s="4"/>
      <c r="B19" s="8" t="s">
        <v>21</v>
      </c>
      <c r="C19" s="12">
        <f>SUM('Stavební rozpočet (IO 01)'!AG12:AG721)</f>
        <v>0</v>
      </c>
      <c r="D19" s="104"/>
      <c r="E19" s="105"/>
      <c r="F19" s="13"/>
      <c r="G19" s="104" t="s">
        <v>44</v>
      </c>
      <c r="H19" s="105"/>
      <c r="I19" s="12">
        <v>0</v>
      </c>
      <c r="J19" s="17"/>
    </row>
    <row r="20" spans="1:10" ht="15.2" customHeight="1">
      <c r="A20" s="106" t="s">
        <v>10</v>
      </c>
      <c r="B20" s="107"/>
      <c r="C20" s="12">
        <f>SUM('Stavební rozpočet (IO 01)'!AH12:AH721)</f>
        <v>0</v>
      </c>
      <c r="D20" s="104"/>
      <c r="E20" s="105"/>
      <c r="F20" s="13"/>
      <c r="G20" s="104"/>
      <c r="H20" s="105"/>
      <c r="I20" s="13"/>
      <c r="J20" s="17"/>
    </row>
    <row r="21" spans="1:10" ht="15.2" customHeight="1">
      <c r="A21" s="106" t="s">
        <v>11</v>
      </c>
      <c r="B21" s="107"/>
      <c r="C21" s="12">
        <f>SUM('Stavební rozpočet (IO 01)'!Z12:Z721)</f>
        <v>0</v>
      </c>
      <c r="D21" s="104"/>
      <c r="E21" s="105"/>
      <c r="F21" s="13"/>
      <c r="G21" s="104"/>
      <c r="H21" s="105"/>
      <c r="I21" s="13"/>
      <c r="J21" s="17"/>
    </row>
    <row r="22" spans="1:10" ht="16.7" customHeight="1">
      <c r="A22" s="106" t="s">
        <v>12</v>
      </c>
      <c r="B22" s="107"/>
      <c r="C22" s="12">
        <f>ROUND(SUM(C14:C21),1)</f>
        <v>0</v>
      </c>
      <c r="D22" s="106" t="s">
        <v>27</v>
      </c>
      <c r="E22" s="107"/>
      <c r="F22" s="12">
        <f>SUM(F14:F21)</f>
        <v>0</v>
      </c>
      <c r="G22" s="106" t="s">
        <v>45</v>
      </c>
      <c r="H22" s="107"/>
      <c r="I22" s="12">
        <f>SUM(I14:I21)</f>
        <v>0</v>
      </c>
      <c r="J22" s="17"/>
    </row>
    <row r="23" spans="1:9" ht="15.2" customHeight="1">
      <c r="A23" s="5"/>
      <c r="B23" s="5"/>
      <c r="C23" s="5"/>
      <c r="D23" s="5"/>
      <c r="E23" s="5"/>
      <c r="F23" s="10"/>
      <c r="G23" s="106" t="s">
        <v>47</v>
      </c>
      <c r="H23" s="107"/>
      <c r="I23" s="69"/>
    </row>
    <row r="24" spans="1:8" ht="12.75">
      <c r="A24" s="1"/>
      <c r="B24" s="1"/>
      <c r="C24" s="1"/>
      <c r="G24" s="5"/>
      <c r="H24" s="5"/>
    </row>
    <row r="25" spans="1:9" ht="15.2" customHeight="1">
      <c r="A25" s="108" t="s">
        <v>13</v>
      </c>
      <c r="B25" s="109"/>
      <c r="C25" s="19">
        <f>ROUND(SUM('Stavební rozpočet (IO 01)'!AJ12:AJ721),1)</f>
        <v>0</v>
      </c>
      <c r="D25" s="11"/>
      <c r="E25" s="1"/>
      <c r="F25" s="1"/>
      <c r="G25" s="1"/>
      <c r="H25" s="1"/>
      <c r="I25" s="1"/>
    </row>
    <row r="26" spans="1:10" ht="15.2" customHeight="1">
      <c r="A26" s="108" t="s">
        <v>14</v>
      </c>
      <c r="B26" s="109"/>
      <c r="C26" s="19">
        <f>ROUND(SUM('Stavební rozpočet (IO 01)'!AK12:AK721),1)</f>
        <v>0</v>
      </c>
      <c r="D26" s="108" t="s">
        <v>29</v>
      </c>
      <c r="E26" s="109"/>
      <c r="F26" s="19">
        <f>ROUND(C26*(15/100),2)</f>
        <v>0</v>
      </c>
      <c r="G26" s="108" t="s">
        <v>49</v>
      </c>
      <c r="H26" s="109"/>
      <c r="I26" s="19">
        <f>ROUND(SUM(C25:C27),1)</f>
        <v>0</v>
      </c>
      <c r="J26" s="17"/>
    </row>
    <row r="27" spans="1:10" ht="15.2" customHeight="1">
      <c r="A27" s="108" t="s">
        <v>15</v>
      </c>
      <c r="B27" s="109"/>
      <c r="C27" s="19">
        <f>ROUND(SUM('Stavební rozpočet (IO 01)'!AL12:AL721)+(F22+I22+F23+I23+I24),1)</f>
        <v>0</v>
      </c>
      <c r="D27" s="108" t="s">
        <v>30</v>
      </c>
      <c r="E27" s="109"/>
      <c r="F27" s="19">
        <f>ROUND(C27*(21/100),2)</f>
        <v>0</v>
      </c>
      <c r="G27" s="108" t="s">
        <v>50</v>
      </c>
      <c r="H27" s="109"/>
      <c r="I27" s="19">
        <f>ROUND(SUM(F26:F27)+I26,1)</f>
        <v>0</v>
      </c>
      <c r="J27" s="17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10" ht="14.45" customHeight="1">
      <c r="A29" s="110" t="s">
        <v>16</v>
      </c>
      <c r="B29" s="111"/>
      <c r="C29" s="112"/>
      <c r="D29" s="110" t="s">
        <v>31</v>
      </c>
      <c r="E29" s="111"/>
      <c r="F29" s="112"/>
      <c r="G29" s="110" t="s">
        <v>51</v>
      </c>
      <c r="H29" s="111"/>
      <c r="I29" s="112"/>
      <c r="J29" s="18"/>
    </row>
    <row r="30" spans="1:10" ht="14.45" customHeight="1">
      <c r="A30" s="113"/>
      <c r="B30" s="114"/>
      <c r="C30" s="115"/>
      <c r="D30" s="113"/>
      <c r="E30" s="114"/>
      <c r="F30" s="115"/>
      <c r="G30" s="113"/>
      <c r="H30" s="114"/>
      <c r="I30" s="115"/>
      <c r="J30" s="18"/>
    </row>
    <row r="31" spans="1:10" ht="14.45" customHeight="1">
      <c r="A31" s="113"/>
      <c r="B31" s="114"/>
      <c r="C31" s="115"/>
      <c r="D31" s="113"/>
      <c r="E31" s="114"/>
      <c r="F31" s="115"/>
      <c r="G31" s="113"/>
      <c r="H31" s="114"/>
      <c r="I31" s="115"/>
      <c r="J31" s="18"/>
    </row>
    <row r="32" spans="1:10" ht="14.45" customHeight="1">
      <c r="A32" s="113"/>
      <c r="B32" s="114"/>
      <c r="C32" s="115"/>
      <c r="D32" s="113"/>
      <c r="E32" s="114"/>
      <c r="F32" s="115"/>
      <c r="G32" s="113"/>
      <c r="H32" s="114"/>
      <c r="I32" s="115"/>
      <c r="J32" s="18"/>
    </row>
    <row r="33" spans="1:10" ht="14.45" customHeight="1">
      <c r="A33" s="116" t="s">
        <v>17</v>
      </c>
      <c r="B33" s="117"/>
      <c r="C33" s="118"/>
      <c r="D33" s="116" t="s">
        <v>17</v>
      </c>
      <c r="E33" s="117"/>
      <c r="F33" s="118"/>
      <c r="G33" s="116" t="s">
        <v>17</v>
      </c>
      <c r="H33" s="117"/>
      <c r="I33" s="118"/>
      <c r="J33" s="18"/>
    </row>
    <row r="34" spans="1:9" ht="11.25" customHeight="1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9" ht="12.75">
      <c r="A35" s="93"/>
      <c r="B35" s="85"/>
      <c r="C35" s="85"/>
      <c r="D35" s="85"/>
      <c r="E35" s="85"/>
      <c r="F35" s="85"/>
      <c r="G35" s="85"/>
      <c r="H35" s="85"/>
      <c r="I35" s="85"/>
    </row>
  </sheetData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G23:H23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72"/>
  <sheetViews>
    <sheetView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52.7109375" style="0" customWidth="1"/>
    <col min="10" max="10" width="4.28125" style="0" customWidth="1"/>
    <col min="11" max="11" width="12.8515625" style="0" customWidth="1"/>
    <col min="12" max="12" width="12.00390625" style="0" customWidth="1"/>
    <col min="13" max="13" width="14.28125" style="0" customWidth="1"/>
    <col min="25" max="64" width="12.140625" style="0" hidden="1" customWidth="1"/>
  </cols>
  <sheetData>
    <row r="1" spans="1:13" ht="72.95" customHeight="1">
      <c r="A1" s="119" t="s">
        <v>1050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12.75">
      <c r="A2" s="82" t="s">
        <v>0</v>
      </c>
      <c r="B2" s="83"/>
      <c r="C2" s="83"/>
      <c r="D2" s="86" t="str">
        <f>'Stavební rozpočet'!D2</f>
        <v>Rekonstrukce kanalizace a zpevněných ploch Hlavní náměstí 9-12; Krnov</v>
      </c>
      <c r="E2" s="133" t="s">
        <v>72</v>
      </c>
      <c r="F2" s="83"/>
      <c r="G2" s="89" t="str">
        <f>'Stavební rozpočet'!G2</f>
        <v xml:space="preserve"> </v>
      </c>
      <c r="H2" s="89" t="s">
        <v>32</v>
      </c>
      <c r="I2" s="89" t="str">
        <f>'Stavební rozpočet'!I2</f>
        <v> </v>
      </c>
      <c r="J2" s="83"/>
      <c r="K2" s="83"/>
      <c r="L2" s="83"/>
      <c r="M2" s="120"/>
      <c r="N2" s="17"/>
    </row>
    <row r="3" spans="1:14" ht="12.75">
      <c r="A3" s="84"/>
      <c r="B3" s="85"/>
      <c r="C3" s="85"/>
      <c r="D3" s="88"/>
      <c r="E3" s="85"/>
      <c r="F3" s="85"/>
      <c r="G3" s="85"/>
      <c r="H3" s="85"/>
      <c r="I3" s="85"/>
      <c r="J3" s="85"/>
      <c r="K3" s="85"/>
      <c r="L3" s="85"/>
      <c r="M3" s="91"/>
      <c r="N3" s="17"/>
    </row>
    <row r="4" spans="1:14" ht="12.75">
      <c r="A4" s="92" t="s">
        <v>1</v>
      </c>
      <c r="B4" s="85"/>
      <c r="C4" s="85"/>
      <c r="D4" s="93" t="str">
        <f>'Stavební rozpočet'!D4</f>
        <v xml:space="preserve"> </v>
      </c>
      <c r="E4" s="95" t="s">
        <v>3</v>
      </c>
      <c r="F4" s="85"/>
      <c r="G4" s="93" t="str">
        <f>'Stavební rozpočet'!G4</f>
        <v>08.11.2021</v>
      </c>
      <c r="H4" s="93" t="s">
        <v>33</v>
      </c>
      <c r="I4" s="93" t="str">
        <f>'Stavební rozpočet'!I4</f>
        <v>hProjekce - Libor Horák</v>
      </c>
      <c r="J4" s="85"/>
      <c r="K4" s="85"/>
      <c r="L4" s="85"/>
      <c r="M4" s="91"/>
      <c r="N4" s="17"/>
    </row>
    <row r="5" spans="1:14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91"/>
      <c r="N5" s="17"/>
    </row>
    <row r="6" spans="1:14" ht="12.75">
      <c r="A6" s="92" t="s">
        <v>2</v>
      </c>
      <c r="B6" s="85"/>
      <c r="C6" s="85"/>
      <c r="D6" s="93" t="str">
        <f>'Stavební rozpočet'!D6</f>
        <v>Krnov</v>
      </c>
      <c r="E6" s="95" t="s">
        <v>35</v>
      </c>
      <c r="F6" s="85"/>
      <c r="G6" s="93" t="str">
        <f>'Stavební rozpočet'!G6</f>
        <v xml:space="preserve"> </v>
      </c>
      <c r="H6" s="93" t="s">
        <v>34</v>
      </c>
      <c r="I6" s="93" t="str">
        <f>'Stavební rozpočet'!I6</f>
        <v> </v>
      </c>
      <c r="J6" s="85"/>
      <c r="K6" s="85"/>
      <c r="L6" s="85"/>
      <c r="M6" s="91"/>
      <c r="N6" s="17"/>
    </row>
    <row r="7" spans="1:14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91"/>
      <c r="N7" s="17"/>
    </row>
    <row r="8" spans="1:14" ht="12.75">
      <c r="A8" s="92" t="s">
        <v>4</v>
      </c>
      <c r="B8" s="85"/>
      <c r="C8" s="85"/>
      <c r="D8" s="93" t="str">
        <f>'Stavební rozpočet'!D8</f>
        <v xml:space="preserve"> </v>
      </c>
      <c r="E8" s="95" t="s">
        <v>73</v>
      </c>
      <c r="F8" s="85"/>
      <c r="G8" s="93" t="str">
        <f>'Stavební rozpočet'!G8</f>
        <v>08.11.2021</v>
      </c>
      <c r="H8" s="93" t="s">
        <v>36</v>
      </c>
      <c r="I8" s="93" t="str">
        <f>'Stavební rozpočet'!I8</f>
        <v> </v>
      </c>
      <c r="J8" s="85"/>
      <c r="K8" s="85"/>
      <c r="L8" s="85"/>
      <c r="M8" s="91"/>
      <c r="N8" s="17"/>
    </row>
    <row r="9" spans="1:14" ht="12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  <c r="N9" s="17"/>
    </row>
    <row r="10" spans="1:64" ht="12.75">
      <c r="A10" s="34" t="s">
        <v>79</v>
      </c>
      <c r="B10" s="41" t="s">
        <v>60</v>
      </c>
      <c r="C10" s="41" t="s">
        <v>263</v>
      </c>
      <c r="D10" s="134" t="s">
        <v>430</v>
      </c>
      <c r="E10" s="135"/>
      <c r="F10" s="135"/>
      <c r="G10" s="135"/>
      <c r="H10" s="135"/>
      <c r="I10" s="136"/>
      <c r="J10" s="41" t="s">
        <v>967</v>
      </c>
      <c r="K10" s="52" t="s">
        <v>978</v>
      </c>
      <c r="L10" s="55" t="s">
        <v>979</v>
      </c>
      <c r="M10" s="26" t="s">
        <v>75</v>
      </c>
      <c r="N10" s="18"/>
      <c r="BK10" s="58" t="s">
        <v>1045</v>
      </c>
      <c r="BL10" s="62" t="s">
        <v>1048</v>
      </c>
    </row>
    <row r="11" spans="1:62" ht="12.75">
      <c r="A11" s="35" t="s">
        <v>59</v>
      </c>
      <c r="B11" s="42" t="s">
        <v>59</v>
      </c>
      <c r="C11" s="42" t="s">
        <v>59</v>
      </c>
      <c r="D11" s="127" t="s">
        <v>431</v>
      </c>
      <c r="E11" s="128"/>
      <c r="F11" s="128"/>
      <c r="G11" s="128"/>
      <c r="H11" s="128"/>
      <c r="I11" s="129"/>
      <c r="J11" s="42" t="s">
        <v>59</v>
      </c>
      <c r="K11" s="42" t="s">
        <v>59</v>
      </c>
      <c r="L11" s="56" t="s">
        <v>980</v>
      </c>
      <c r="M11" s="27" t="s">
        <v>76</v>
      </c>
      <c r="N11" s="18"/>
      <c r="Z11" s="58" t="s">
        <v>981</v>
      </c>
      <c r="AA11" s="58" t="s">
        <v>982</v>
      </c>
      <c r="AB11" s="58" t="s">
        <v>983</v>
      </c>
      <c r="AC11" s="58" t="s">
        <v>984</v>
      </c>
      <c r="AD11" s="58" t="s">
        <v>985</v>
      </c>
      <c r="AE11" s="58" t="s">
        <v>986</v>
      </c>
      <c r="AF11" s="58" t="s">
        <v>987</v>
      </c>
      <c r="AG11" s="58" t="s">
        <v>988</v>
      </c>
      <c r="AH11" s="58" t="s">
        <v>989</v>
      </c>
      <c r="BH11" s="58" t="s">
        <v>1042</v>
      </c>
      <c r="BI11" s="58" t="s">
        <v>1043</v>
      </c>
      <c r="BJ11" s="58" t="s">
        <v>1044</v>
      </c>
    </row>
    <row r="12" spans="1:14" ht="12.75">
      <c r="A12" s="36"/>
      <c r="B12" s="43" t="s">
        <v>61</v>
      </c>
      <c r="C12" s="43"/>
      <c r="D12" s="137" t="s">
        <v>67</v>
      </c>
      <c r="E12" s="138"/>
      <c r="F12" s="138"/>
      <c r="G12" s="138"/>
      <c r="H12" s="138"/>
      <c r="I12" s="138"/>
      <c r="J12" s="49" t="s">
        <v>59</v>
      </c>
      <c r="K12" s="49" t="s">
        <v>59</v>
      </c>
      <c r="L12" s="49" t="s">
        <v>59</v>
      </c>
      <c r="M12" s="63">
        <f>M13+M48+M93+M110+M115+M175+M178+M181+M194+M200+M221+M226+M229+M259+M329+M398+M403+M408+M421+M438+M450+M453+M468</f>
        <v>0</v>
      </c>
      <c r="N12" s="17"/>
    </row>
    <row r="13" spans="1:47" ht="12.75">
      <c r="A13" s="37"/>
      <c r="B13" s="44" t="s">
        <v>61</v>
      </c>
      <c r="C13" s="44" t="s">
        <v>90</v>
      </c>
      <c r="D13" s="139" t="s">
        <v>432</v>
      </c>
      <c r="E13" s="140"/>
      <c r="F13" s="140"/>
      <c r="G13" s="140"/>
      <c r="H13" s="140"/>
      <c r="I13" s="140"/>
      <c r="J13" s="50" t="s">
        <v>59</v>
      </c>
      <c r="K13" s="50" t="s">
        <v>59</v>
      </c>
      <c r="L13" s="50" t="s">
        <v>59</v>
      </c>
      <c r="M13" s="64">
        <f>SUM(M14:M46)</f>
        <v>0</v>
      </c>
      <c r="N13" s="17"/>
      <c r="AI13" s="58" t="s">
        <v>61</v>
      </c>
      <c r="AS13" s="68">
        <f>SUM(AJ14:AJ46)</f>
        <v>0</v>
      </c>
      <c r="AT13" s="68">
        <f>SUM(AK14:AK46)</f>
        <v>0</v>
      </c>
      <c r="AU13" s="68">
        <f>SUM(AL14:AL46)</f>
        <v>0</v>
      </c>
    </row>
    <row r="14" spans="1:64" ht="12.75">
      <c r="A14" s="38" t="s">
        <v>80</v>
      </c>
      <c r="B14" s="45" t="s">
        <v>61</v>
      </c>
      <c r="C14" s="45" t="s">
        <v>264</v>
      </c>
      <c r="D14" s="141" t="s">
        <v>433</v>
      </c>
      <c r="E14" s="142"/>
      <c r="F14" s="142"/>
      <c r="G14" s="142"/>
      <c r="H14" s="142"/>
      <c r="I14" s="142"/>
      <c r="J14" s="45" t="s">
        <v>968</v>
      </c>
      <c r="K14" s="74">
        <f>'Stavební rozpočet'!K14</f>
        <v>14.4</v>
      </c>
      <c r="L14" s="53">
        <f>'Stavební rozpočet'!L14</f>
        <v>0</v>
      </c>
      <c r="M14" s="65">
        <f>K14*L14</f>
        <v>0</v>
      </c>
      <c r="N14" s="17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58" t="s">
        <v>61</v>
      </c>
      <c r="AJ14" s="53">
        <f>IF(AN14=0,M14,0)</f>
        <v>0</v>
      </c>
      <c r="AK14" s="53">
        <f>IF(AN14=15,M14,0)</f>
        <v>0</v>
      </c>
      <c r="AL14" s="53">
        <f>IF(AN14=21,M14,0)</f>
        <v>0</v>
      </c>
      <c r="AN14" s="33">
        <v>21</v>
      </c>
      <c r="AO14" s="33">
        <f>L14*0</f>
        <v>0</v>
      </c>
      <c r="AP14" s="33">
        <f>L14*(1-0)</f>
        <v>0</v>
      </c>
      <c r="AQ14" s="59" t="s">
        <v>80</v>
      </c>
      <c r="AV14" s="33">
        <f>AW14+AX14</f>
        <v>0</v>
      </c>
      <c r="AW14" s="33">
        <f>K14*AO14</f>
        <v>0</v>
      </c>
      <c r="AX14" s="33">
        <f>K14*AP14</f>
        <v>0</v>
      </c>
      <c r="AY14" s="61" t="s">
        <v>990</v>
      </c>
      <c r="AZ14" s="61" t="s">
        <v>1018</v>
      </c>
      <c r="BA14" s="58" t="s">
        <v>1037</v>
      </c>
      <c r="BC14" s="33">
        <f>AW14+AX14</f>
        <v>0</v>
      </c>
      <c r="BD14" s="33">
        <f>L14/(100-BE14)*100</f>
        <v>0</v>
      </c>
      <c r="BE14" s="33">
        <v>0</v>
      </c>
      <c r="BF14" s="33">
        <f>14</f>
        <v>14</v>
      </c>
      <c r="BH14" s="53">
        <f>K14*AO14</f>
        <v>0</v>
      </c>
      <c r="BI14" s="53">
        <f>K14*AP14</f>
        <v>0</v>
      </c>
      <c r="BJ14" s="53">
        <f>K14*L14</f>
        <v>0</v>
      </c>
      <c r="BK14" s="53" t="s">
        <v>1046</v>
      </c>
      <c r="BL14" s="33">
        <v>11</v>
      </c>
    </row>
    <row r="15" spans="1:14" ht="12.75">
      <c r="A15" s="17"/>
      <c r="D15" s="143" t="s">
        <v>434</v>
      </c>
      <c r="E15" s="144"/>
      <c r="F15" s="144"/>
      <c r="G15" s="144"/>
      <c r="H15" s="144"/>
      <c r="I15" s="144"/>
      <c r="K15" s="75">
        <v>2</v>
      </c>
      <c r="M15" s="14"/>
      <c r="N15" s="17"/>
    </row>
    <row r="16" spans="1:14" ht="12.75">
      <c r="A16" s="17"/>
      <c r="D16" s="143" t="s">
        <v>435</v>
      </c>
      <c r="E16" s="144"/>
      <c r="F16" s="144"/>
      <c r="G16" s="144"/>
      <c r="H16" s="144"/>
      <c r="I16" s="144"/>
      <c r="K16" s="75">
        <v>2</v>
      </c>
      <c r="M16" s="14"/>
      <c r="N16" s="17"/>
    </row>
    <row r="17" spans="1:14" ht="12.75">
      <c r="A17" s="17"/>
      <c r="D17" s="143" t="s">
        <v>436</v>
      </c>
      <c r="E17" s="144"/>
      <c r="F17" s="144"/>
      <c r="G17" s="144"/>
      <c r="H17" s="144"/>
      <c r="I17" s="144"/>
      <c r="K17" s="75">
        <v>2</v>
      </c>
      <c r="M17" s="14"/>
      <c r="N17" s="17"/>
    </row>
    <row r="18" spans="1:14" ht="12.75">
      <c r="A18" s="17"/>
      <c r="D18" s="143" t="s">
        <v>437</v>
      </c>
      <c r="E18" s="144"/>
      <c r="F18" s="144"/>
      <c r="G18" s="144"/>
      <c r="H18" s="144"/>
      <c r="I18" s="144"/>
      <c r="K18" s="75">
        <v>2</v>
      </c>
      <c r="M18" s="14"/>
      <c r="N18" s="17"/>
    </row>
    <row r="19" spans="1:14" ht="12.75">
      <c r="A19" s="17"/>
      <c r="D19" s="143" t="s">
        <v>438</v>
      </c>
      <c r="E19" s="144"/>
      <c r="F19" s="144"/>
      <c r="G19" s="144"/>
      <c r="H19" s="144"/>
      <c r="I19" s="144"/>
      <c r="K19" s="75">
        <v>2</v>
      </c>
      <c r="M19" s="14"/>
      <c r="N19" s="17"/>
    </row>
    <row r="20" spans="1:14" ht="12.75">
      <c r="A20" s="17"/>
      <c r="D20" s="143" t="s">
        <v>439</v>
      </c>
      <c r="E20" s="144"/>
      <c r="F20" s="144"/>
      <c r="G20" s="144"/>
      <c r="H20" s="144"/>
      <c r="I20" s="144"/>
      <c r="K20" s="75">
        <v>2</v>
      </c>
      <c r="M20" s="14"/>
      <c r="N20" s="17"/>
    </row>
    <row r="21" spans="1:14" ht="12.75">
      <c r="A21" s="17"/>
      <c r="D21" s="143" t="s">
        <v>440</v>
      </c>
      <c r="E21" s="144"/>
      <c r="F21" s="144"/>
      <c r="G21" s="144"/>
      <c r="H21" s="144"/>
      <c r="I21" s="144"/>
      <c r="K21" s="75">
        <v>1.1</v>
      </c>
      <c r="M21" s="14"/>
      <c r="N21" s="17"/>
    </row>
    <row r="22" spans="1:14" ht="12.75">
      <c r="A22" s="17"/>
      <c r="D22" s="143" t="s">
        <v>441</v>
      </c>
      <c r="E22" s="144"/>
      <c r="F22" s="144"/>
      <c r="G22" s="144"/>
      <c r="H22" s="144"/>
      <c r="I22" s="144"/>
      <c r="K22" s="75">
        <v>1.3</v>
      </c>
      <c r="M22" s="14"/>
      <c r="N22" s="17"/>
    </row>
    <row r="23" spans="1:64" ht="12.75">
      <c r="A23" s="38" t="s">
        <v>81</v>
      </c>
      <c r="B23" s="45" t="s">
        <v>61</v>
      </c>
      <c r="C23" s="45" t="s">
        <v>265</v>
      </c>
      <c r="D23" s="141" t="s">
        <v>442</v>
      </c>
      <c r="E23" s="142"/>
      <c r="F23" s="142"/>
      <c r="G23" s="142"/>
      <c r="H23" s="142"/>
      <c r="I23" s="142"/>
      <c r="J23" s="45" t="s">
        <v>969</v>
      </c>
      <c r="K23" s="74">
        <f>'Stavební rozpočet'!K23</f>
        <v>80</v>
      </c>
      <c r="L23" s="53">
        <f>'Stavební rozpočet'!L23</f>
        <v>0</v>
      </c>
      <c r="M23" s="65">
        <f>K23*L23</f>
        <v>0</v>
      </c>
      <c r="N23" s="17"/>
      <c r="Z23" s="33">
        <f>IF(AQ23="5",BJ23,0)</f>
        <v>0</v>
      </c>
      <c r="AB23" s="33">
        <f>IF(AQ23="1",BH23,0)</f>
        <v>0</v>
      </c>
      <c r="AC23" s="33">
        <f>IF(AQ23="1",BI23,0)</f>
        <v>0</v>
      </c>
      <c r="AD23" s="33">
        <f>IF(AQ23="7",BH23,0)</f>
        <v>0</v>
      </c>
      <c r="AE23" s="33">
        <f>IF(AQ23="7",BI23,0)</f>
        <v>0</v>
      </c>
      <c r="AF23" s="33">
        <f>IF(AQ23="2",BH23,0)</f>
        <v>0</v>
      </c>
      <c r="AG23" s="33">
        <f>IF(AQ23="2",BI23,0)</f>
        <v>0</v>
      </c>
      <c r="AH23" s="33">
        <f>IF(AQ23="0",BJ23,0)</f>
        <v>0</v>
      </c>
      <c r="AI23" s="58" t="s">
        <v>61</v>
      </c>
      <c r="AJ23" s="53">
        <f>IF(AN23=0,M23,0)</f>
        <v>0</v>
      </c>
      <c r="AK23" s="53">
        <f>IF(AN23=15,M23,0)</f>
        <v>0</v>
      </c>
      <c r="AL23" s="53">
        <f>IF(AN23=21,M23,0)</f>
        <v>0</v>
      </c>
      <c r="AN23" s="33">
        <v>21</v>
      </c>
      <c r="AO23" s="33">
        <f>L23*0</f>
        <v>0</v>
      </c>
      <c r="AP23" s="33">
        <f>L23*(1-0)</f>
        <v>0</v>
      </c>
      <c r="AQ23" s="59" t="s">
        <v>80</v>
      </c>
      <c r="AV23" s="33">
        <f>AW23+AX23</f>
        <v>0</v>
      </c>
      <c r="AW23" s="33">
        <f>K23*AO23</f>
        <v>0</v>
      </c>
      <c r="AX23" s="33">
        <f>K23*AP23</f>
        <v>0</v>
      </c>
      <c r="AY23" s="61" t="s">
        <v>990</v>
      </c>
      <c r="AZ23" s="61" t="s">
        <v>1018</v>
      </c>
      <c r="BA23" s="58" t="s">
        <v>1037</v>
      </c>
      <c r="BC23" s="33">
        <f>AW23+AX23</f>
        <v>0</v>
      </c>
      <c r="BD23" s="33">
        <f>L23/(100-BE23)*100</f>
        <v>0</v>
      </c>
      <c r="BE23" s="33">
        <v>0</v>
      </c>
      <c r="BF23" s="33">
        <f>23</f>
        <v>23</v>
      </c>
      <c r="BH23" s="53">
        <f>K23*AO23</f>
        <v>0</v>
      </c>
      <c r="BI23" s="53">
        <f>K23*AP23</f>
        <v>0</v>
      </c>
      <c r="BJ23" s="53">
        <f>K23*L23</f>
        <v>0</v>
      </c>
      <c r="BK23" s="53" t="s">
        <v>1046</v>
      </c>
      <c r="BL23" s="33">
        <v>11</v>
      </c>
    </row>
    <row r="24" spans="1:14" ht="12.75">
      <c r="A24" s="17"/>
      <c r="D24" s="143" t="s">
        <v>443</v>
      </c>
      <c r="E24" s="144"/>
      <c r="F24" s="144"/>
      <c r="G24" s="144"/>
      <c r="H24" s="144"/>
      <c r="I24" s="144"/>
      <c r="K24" s="75">
        <v>80</v>
      </c>
      <c r="M24" s="14"/>
      <c r="N24" s="17"/>
    </row>
    <row r="25" spans="1:64" ht="12.75">
      <c r="A25" s="38" t="s">
        <v>82</v>
      </c>
      <c r="B25" s="45" t="s">
        <v>61</v>
      </c>
      <c r="C25" s="45" t="s">
        <v>266</v>
      </c>
      <c r="D25" s="141" t="s">
        <v>444</v>
      </c>
      <c r="E25" s="142"/>
      <c r="F25" s="142"/>
      <c r="G25" s="142"/>
      <c r="H25" s="142"/>
      <c r="I25" s="142"/>
      <c r="J25" s="45" t="s">
        <v>970</v>
      </c>
      <c r="K25" s="74">
        <f>'Stavební rozpočet'!K25</f>
        <v>20</v>
      </c>
      <c r="L25" s="53">
        <f>'Stavební rozpočet'!L25</f>
        <v>0</v>
      </c>
      <c r="M25" s="65">
        <f>K25*L25</f>
        <v>0</v>
      </c>
      <c r="N25" s="17"/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58" t="s">
        <v>61</v>
      </c>
      <c r="AJ25" s="53">
        <f>IF(AN25=0,M25,0)</f>
        <v>0</v>
      </c>
      <c r="AK25" s="53">
        <f>IF(AN25=15,M25,0)</f>
        <v>0</v>
      </c>
      <c r="AL25" s="53">
        <f>IF(AN25=21,M25,0)</f>
        <v>0</v>
      </c>
      <c r="AN25" s="33">
        <v>21</v>
      </c>
      <c r="AO25" s="33">
        <f>L25*0</f>
        <v>0</v>
      </c>
      <c r="AP25" s="33">
        <f>L25*(1-0)</f>
        <v>0</v>
      </c>
      <c r="AQ25" s="59" t="s">
        <v>80</v>
      </c>
      <c r="AV25" s="33">
        <f>AW25+AX25</f>
        <v>0</v>
      </c>
      <c r="AW25" s="33">
        <f>K25*AO25</f>
        <v>0</v>
      </c>
      <c r="AX25" s="33">
        <f>K25*AP25</f>
        <v>0</v>
      </c>
      <c r="AY25" s="61" t="s">
        <v>990</v>
      </c>
      <c r="AZ25" s="61" t="s">
        <v>1018</v>
      </c>
      <c r="BA25" s="58" t="s">
        <v>1037</v>
      </c>
      <c r="BC25" s="33">
        <f>AW25+AX25</f>
        <v>0</v>
      </c>
      <c r="BD25" s="33">
        <f>L25/(100-BE25)*100</f>
        <v>0</v>
      </c>
      <c r="BE25" s="33">
        <v>0</v>
      </c>
      <c r="BF25" s="33">
        <f>25</f>
        <v>25</v>
      </c>
      <c r="BH25" s="53">
        <f>K25*AO25</f>
        <v>0</v>
      </c>
      <c r="BI25" s="53">
        <f>K25*AP25</f>
        <v>0</v>
      </c>
      <c r="BJ25" s="53">
        <f>K25*L25</f>
        <v>0</v>
      </c>
      <c r="BK25" s="53" t="s">
        <v>1046</v>
      </c>
      <c r="BL25" s="33">
        <v>11</v>
      </c>
    </row>
    <row r="26" spans="1:14" ht="12.75">
      <c r="A26" s="17"/>
      <c r="D26" s="143" t="s">
        <v>445</v>
      </c>
      <c r="E26" s="144"/>
      <c r="F26" s="144"/>
      <c r="G26" s="144"/>
      <c r="H26" s="144"/>
      <c r="I26" s="144"/>
      <c r="K26" s="75">
        <v>20</v>
      </c>
      <c r="M26" s="14"/>
      <c r="N26" s="17"/>
    </row>
    <row r="27" spans="1:64" ht="12.75">
      <c r="A27" s="38" t="s">
        <v>83</v>
      </c>
      <c r="B27" s="45" t="s">
        <v>61</v>
      </c>
      <c r="C27" s="45" t="s">
        <v>267</v>
      </c>
      <c r="D27" s="141" t="s">
        <v>446</v>
      </c>
      <c r="E27" s="142"/>
      <c r="F27" s="142"/>
      <c r="G27" s="142"/>
      <c r="H27" s="142"/>
      <c r="I27" s="142"/>
      <c r="J27" s="45" t="s">
        <v>968</v>
      </c>
      <c r="K27" s="74">
        <f>'Stavební rozpočet'!K27</f>
        <v>7.8</v>
      </c>
      <c r="L27" s="53">
        <f>'Stavební rozpočet'!L27</f>
        <v>0</v>
      </c>
      <c r="M27" s="65">
        <f>K27*L27</f>
        <v>0</v>
      </c>
      <c r="N27" s="17"/>
      <c r="Z27" s="33">
        <f>IF(AQ27="5",BJ27,0)</f>
        <v>0</v>
      </c>
      <c r="AB27" s="33">
        <f>IF(AQ27="1",BH27,0)</f>
        <v>0</v>
      </c>
      <c r="AC27" s="33">
        <f>IF(AQ27="1",BI27,0)</f>
        <v>0</v>
      </c>
      <c r="AD27" s="33">
        <f>IF(AQ27="7",BH27,0)</f>
        <v>0</v>
      </c>
      <c r="AE27" s="33">
        <f>IF(AQ27="7",BI27,0)</f>
        <v>0</v>
      </c>
      <c r="AF27" s="33">
        <f>IF(AQ27="2",BH27,0)</f>
        <v>0</v>
      </c>
      <c r="AG27" s="33">
        <f>IF(AQ27="2",BI27,0)</f>
        <v>0</v>
      </c>
      <c r="AH27" s="33">
        <f>IF(AQ27="0",BJ27,0)</f>
        <v>0</v>
      </c>
      <c r="AI27" s="58" t="s">
        <v>61</v>
      </c>
      <c r="AJ27" s="53">
        <f>IF(AN27=0,M27,0)</f>
        <v>0</v>
      </c>
      <c r="AK27" s="53">
        <f>IF(AN27=15,M27,0)</f>
        <v>0</v>
      </c>
      <c r="AL27" s="53">
        <f>IF(AN27=21,M27,0)</f>
        <v>0</v>
      </c>
      <c r="AN27" s="33">
        <v>21</v>
      </c>
      <c r="AO27" s="33">
        <f>L27*0.274470989761092</f>
        <v>0</v>
      </c>
      <c r="AP27" s="33">
        <f>L27*(1-0.274470989761092)</f>
        <v>0</v>
      </c>
      <c r="AQ27" s="59" t="s">
        <v>80</v>
      </c>
      <c r="AV27" s="33">
        <f>AW27+AX27</f>
        <v>0</v>
      </c>
      <c r="AW27" s="33">
        <f>K27*AO27</f>
        <v>0</v>
      </c>
      <c r="AX27" s="33">
        <f>K27*AP27</f>
        <v>0</v>
      </c>
      <c r="AY27" s="61" t="s">
        <v>990</v>
      </c>
      <c r="AZ27" s="61" t="s">
        <v>1018</v>
      </c>
      <c r="BA27" s="58" t="s">
        <v>1037</v>
      </c>
      <c r="BC27" s="33">
        <f>AW27+AX27</f>
        <v>0</v>
      </c>
      <c r="BD27" s="33">
        <f>L27/(100-BE27)*100</f>
        <v>0</v>
      </c>
      <c r="BE27" s="33">
        <v>0</v>
      </c>
      <c r="BF27" s="33">
        <f>27</f>
        <v>27</v>
      </c>
      <c r="BH27" s="53">
        <f>K27*AO27</f>
        <v>0</v>
      </c>
      <c r="BI27" s="53">
        <f>K27*AP27</f>
        <v>0</v>
      </c>
      <c r="BJ27" s="53">
        <f>K27*L27</f>
        <v>0</v>
      </c>
      <c r="BK27" s="53" t="s">
        <v>1046</v>
      </c>
      <c r="BL27" s="33">
        <v>11</v>
      </c>
    </row>
    <row r="28" spans="1:14" ht="12.75">
      <c r="A28" s="17"/>
      <c r="D28" s="143" t="s">
        <v>447</v>
      </c>
      <c r="E28" s="144"/>
      <c r="F28" s="144"/>
      <c r="G28" s="144"/>
      <c r="H28" s="144"/>
      <c r="I28" s="144"/>
      <c r="K28" s="75">
        <v>2</v>
      </c>
      <c r="M28" s="14"/>
      <c r="N28" s="17"/>
    </row>
    <row r="29" spans="1:14" ht="12.75">
      <c r="A29" s="17"/>
      <c r="D29" s="143" t="s">
        <v>448</v>
      </c>
      <c r="E29" s="144"/>
      <c r="F29" s="144"/>
      <c r="G29" s="144"/>
      <c r="H29" s="144"/>
      <c r="I29" s="144"/>
      <c r="K29" s="75">
        <v>1.92</v>
      </c>
      <c r="M29" s="14"/>
      <c r="N29" s="17"/>
    </row>
    <row r="30" spans="1:14" ht="12.75">
      <c r="A30" s="17"/>
      <c r="D30" s="143" t="s">
        <v>449</v>
      </c>
      <c r="E30" s="144"/>
      <c r="F30" s="144"/>
      <c r="G30" s="144"/>
      <c r="H30" s="144"/>
      <c r="I30" s="144"/>
      <c r="K30" s="75">
        <v>0.96</v>
      </c>
      <c r="M30" s="14"/>
      <c r="N30" s="17"/>
    </row>
    <row r="31" spans="1:14" ht="12.75">
      <c r="A31" s="17"/>
      <c r="D31" s="143" t="s">
        <v>450</v>
      </c>
      <c r="E31" s="144"/>
      <c r="F31" s="144"/>
      <c r="G31" s="144"/>
      <c r="H31" s="144"/>
      <c r="I31" s="144"/>
      <c r="K31" s="75">
        <v>0.96</v>
      </c>
      <c r="M31" s="14"/>
      <c r="N31" s="17"/>
    </row>
    <row r="32" spans="1:14" ht="12.75">
      <c r="A32" s="17"/>
      <c r="D32" s="143" t="s">
        <v>451</v>
      </c>
      <c r="E32" s="144"/>
      <c r="F32" s="144"/>
      <c r="G32" s="144"/>
      <c r="H32" s="144"/>
      <c r="I32" s="144"/>
      <c r="K32" s="75">
        <v>0.96</v>
      </c>
      <c r="M32" s="14"/>
      <c r="N32" s="17"/>
    </row>
    <row r="33" spans="1:14" ht="12.75">
      <c r="A33" s="17"/>
      <c r="D33" s="143" t="s">
        <v>452</v>
      </c>
      <c r="E33" s="144"/>
      <c r="F33" s="144"/>
      <c r="G33" s="144"/>
      <c r="H33" s="144"/>
      <c r="I33" s="144"/>
      <c r="K33" s="75">
        <v>1</v>
      </c>
      <c r="M33" s="14"/>
      <c r="N33" s="17"/>
    </row>
    <row r="34" spans="1:64" ht="12.75">
      <c r="A34" s="38" t="s">
        <v>84</v>
      </c>
      <c r="B34" s="45" t="s">
        <v>61</v>
      </c>
      <c r="C34" s="45" t="s">
        <v>268</v>
      </c>
      <c r="D34" s="141" t="s">
        <v>453</v>
      </c>
      <c r="E34" s="142"/>
      <c r="F34" s="142"/>
      <c r="G34" s="142"/>
      <c r="H34" s="142"/>
      <c r="I34" s="142"/>
      <c r="J34" s="45" t="s">
        <v>971</v>
      </c>
      <c r="K34" s="74">
        <f>'Stavební rozpočet'!K34</f>
        <v>1</v>
      </c>
      <c r="L34" s="53">
        <f>'Stavební rozpočet'!L34</f>
        <v>0</v>
      </c>
      <c r="M34" s="65">
        <f>K34*L34</f>
        <v>0</v>
      </c>
      <c r="N34" s="17"/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58" t="s">
        <v>61</v>
      </c>
      <c r="AJ34" s="53">
        <f>IF(AN34=0,M34,0)</f>
        <v>0</v>
      </c>
      <c r="AK34" s="53">
        <f>IF(AN34=15,M34,0)</f>
        <v>0</v>
      </c>
      <c r="AL34" s="53">
        <f>IF(AN34=21,M34,0)</f>
        <v>0</v>
      </c>
      <c r="AN34" s="33">
        <v>21</v>
      </c>
      <c r="AO34" s="33">
        <f>L34*0</f>
        <v>0</v>
      </c>
      <c r="AP34" s="33">
        <f>L34*(1-0)</f>
        <v>0</v>
      </c>
      <c r="AQ34" s="59" t="s">
        <v>80</v>
      </c>
      <c r="AV34" s="33">
        <f>AW34+AX34</f>
        <v>0</v>
      </c>
      <c r="AW34" s="33">
        <f>K34*AO34</f>
        <v>0</v>
      </c>
      <c r="AX34" s="33">
        <f>K34*AP34</f>
        <v>0</v>
      </c>
      <c r="AY34" s="61" t="s">
        <v>990</v>
      </c>
      <c r="AZ34" s="61" t="s">
        <v>1018</v>
      </c>
      <c r="BA34" s="58" t="s">
        <v>1037</v>
      </c>
      <c r="BC34" s="33">
        <f>AW34+AX34</f>
        <v>0</v>
      </c>
      <c r="BD34" s="33">
        <f>L34/(100-BE34)*100</f>
        <v>0</v>
      </c>
      <c r="BE34" s="33">
        <v>0</v>
      </c>
      <c r="BF34" s="33">
        <f>34</f>
        <v>34</v>
      </c>
      <c r="BH34" s="53">
        <f>K34*AO34</f>
        <v>0</v>
      </c>
      <c r="BI34" s="53">
        <f>K34*AP34</f>
        <v>0</v>
      </c>
      <c r="BJ34" s="53">
        <f>K34*L34</f>
        <v>0</v>
      </c>
      <c r="BK34" s="53" t="s">
        <v>1046</v>
      </c>
      <c r="BL34" s="33">
        <v>11</v>
      </c>
    </row>
    <row r="35" spans="1:14" ht="12.75">
      <c r="A35" s="17"/>
      <c r="C35" s="48" t="s">
        <v>269</v>
      </c>
      <c r="D35" s="145" t="s">
        <v>454</v>
      </c>
      <c r="E35" s="146"/>
      <c r="F35" s="146"/>
      <c r="G35" s="146"/>
      <c r="H35" s="146"/>
      <c r="I35" s="146"/>
      <c r="J35" s="146"/>
      <c r="K35" s="146"/>
      <c r="L35" s="146"/>
      <c r="M35" s="147"/>
      <c r="N35" s="17"/>
    </row>
    <row r="36" spans="1:14" ht="12.75">
      <c r="A36" s="17"/>
      <c r="D36" s="143" t="s">
        <v>455</v>
      </c>
      <c r="E36" s="144"/>
      <c r="F36" s="144"/>
      <c r="G36" s="144"/>
      <c r="H36" s="144"/>
      <c r="I36" s="144"/>
      <c r="K36" s="75">
        <v>1</v>
      </c>
      <c r="M36" s="14"/>
      <c r="N36" s="17"/>
    </row>
    <row r="37" spans="1:64" ht="12.75">
      <c r="A37" s="38" t="s">
        <v>85</v>
      </c>
      <c r="B37" s="45" t="s">
        <v>61</v>
      </c>
      <c r="C37" s="45" t="s">
        <v>270</v>
      </c>
      <c r="D37" s="141" t="s">
        <v>456</v>
      </c>
      <c r="E37" s="142"/>
      <c r="F37" s="142"/>
      <c r="G37" s="142"/>
      <c r="H37" s="142"/>
      <c r="I37" s="142"/>
      <c r="J37" s="45" t="s">
        <v>972</v>
      </c>
      <c r="K37" s="74">
        <f>'Stavební rozpočet'!K37</f>
        <v>11.7</v>
      </c>
      <c r="L37" s="53">
        <f>'Stavební rozpočet'!L37</f>
        <v>0</v>
      </c>
      <c r="M37" s="65">
        <f>K37*L37</f>
        <v>0</v>
      </c>
      <c r="N37" s="17"/>
      <c r="Z37" s="33">
        <f>IF(AQ37="5",BJ37,0)</f>
        <v>0</v>
      </c>
      <c r="AB37" s="33">
        <f>IF(AQ37="1",BH37,0)</f>
        <v>0</v>
      </c>
      <c r="AC37" s="33">
        <f>IF(AQ37="1",BI37,0)</f>
        <v>0</v>
      </c>
      <c r="AD37" s="33">
        <f>IF(AQ37="7",BH37,0)</f>
        <v>0</v>
      </c>
      <c r="AE37" s="33">
        <f>IF(AQ37="7",BI37,0)</f>
        <v>0</v>
      </c>
      <c r="AF37" s="33">
        <f>IF(AQ37="2",BH37,0)</f>
        <v>0</v>
      </c>
      <c r="AG37" s="33">
        <f>IF(AQ37="2",BI37,0)</f>
        <v>0</v>
      </c>
      <c r="AH37" s="33">
        <f>IF(AQ37="0",BJ37,0)</f>
        <v>0</v>
      </c>
      <c r="AI37" s="58" t="s">
        <v>61</v>
      </c>
      <c r="AJ37" s="53">
        <f>IF(AN37=0,M37,0)</f>
        <v>0</v>
      </c>
      <c r="AK37" s="53">
        <f>IF(AN37=15,M37,0)</f>
        <v>0</v>
      </c>
      <c r="AL37" s="53">
        <f>IF(AN37=21,M37,0)</f>
        <v>0</v>
      </c>
      <c r="AN37" s="33">
        <v>21</v>
      </c>
      <c r="AO37" s="33">
        <f>L37*0</f>
        <v>0</v>
      </c>
      <c r="AP37" s="33">
        <f>L37*(1-0)</f>
        <v>0</v>
      </c>
      <c r="AQ37" s="59" t="s">
        <v>80</v>
      </c>
      <c r="AV37" s="33">
        <f>AW37+AX37</f>
        <v>0</v>
      </c>
      <c r="AW37" s="33">
        <f>K37*AO37</f>
        <v>0</v>
      </c>
      <c r="AX37" s="33">
        <f>K37*AP37</f>
        <v>0</v>
      </c>
      <c r="AY37" s="61" t="s">
        <v>990</v>
      </c>
      <c r="AZ37" s="61" t="s">
        <v>1018</v>
      </c>
      <c r="BA37" s="58" t="s">
        <v>1037</v>
      </c>
      <c r="BC37" s="33">
        <f>AW37+AX37</f>
        <v>0</v>
      </c>
      <c r="BD37" s="33">
        <f>L37/(100-BE37)*100</f>
        <v>0</v>
      </c>
      <c r="BE37" s="33">
        <v>0</v>
      </c>
      <c r="BF37" s="33">
        <f>37</f>
        <v>37</v>
      </c>
      <c r="BH37" s="53">
        <f>K37*AO37</f>
        <v>0</v>
      </c>
      <c r="BI37" s="53">
        <f>K37*AP37</f>
        <v>0</v>
      </c>
      <c r="BJ37" s="53">
        <f>K37*L37</f>
        <v>0</v>
      </c>
      <c r="BK37" s="53" t="s">
        <v>1046</v>
      </c>
      <c r="BL37" s="33">
        <v>11</v>
      </c>
    </row>
    <row r="38" spans="1:14" ht="12.75">
      <c r="A38" s="17"/>
      <c r="D38" s="143" t="s">
        <v>457</v>
      </c>
      <c r="E38" s="144"/>
      <c r="F38" s="144"/>
      <c r="G38" s="144"/>
      <c r="H38" s="144"/>
      <c r="I38" s="144"/>
      <c r="K38" s="75">
        <v>1.5</v>
      </c>
      <c r="M38" s="14"/>
      <c r="N38" s="17"/>
    </row>
    <row r="39" spans="1:14" ht="12.75">
      <c r="A39" s="17"/>
      <c r="D39" s="143" t="s">
        <v>458</v>
      </c>
      <c r="E39" s="144"/>
      <c r="F39" s="144"/>
      <c r="G39" s="144"/>
      <c r="H39" s="144"/>
      <c r="I39" s="144"/>
      <c r="K39" s="75">
        <v>1.3</v>
      </c>
      <c r="M39" s="14"/>
      <c r="N39" s="17"/>
    </row>
    <row r="40" spans="1:14" ht="12.75">
      <c r="A40" s="17"/>
      <c r="D40" s="143" t="s">
        <v>459</v>
      </c>
      <c r="E40" s="144"/>
      <c r="F40" s="144"/>
      <c r="G40" s="144"/>
      <c r="H40" s="144"/>
      <c r="I40" s="144"/>
      <c r="K40" s="75">
        <v>1.3</v>
      </c>
      <c r="M40" s="14"/>
      <c r="N40" s="17"/>
    </row>
    <row r="41" spans="1:14" ht="12.75">
      <c r="A41" s="17"/>
      <c r="D41" s="143" t="s">
        <v>460</v>
      </c>
      <c r="E41" s="144"/>
      <c r="F41" s="144"/>
      <c r="G41" s="144"/>
      <c r="H41" s="144"/>
      <c r="I41" s="144"/>
      <c r="K41" s="75">
        <v>3.6</v>
      </c>
      <c r="M41" s="14"/>
      <c r="N41" s="17"/>
    </row>
    <row r="42" spans="1:14" ht="12.75">
      <c r="A42" s="17"/>
      <c r="D42" s="143" t="s">
        <v>461</v>
      </c>
      <c r="E42" s="144"/>
      <c r="F42" s="144"/>
      <c r="G42" s="144"/>
      <c r="H42" s="144"/>
      <c r="I42" s="144"/>
      <c r="K42" s="75">
        <v>1.2</v>
      </c>
      <c r="M42" s="14"/>
      <c r="N42" s="17"/>
    </row>
    <row r="43" spans="1:14" ht="12.75">
      <c r="A43" s="17"/>
      <c r="D43" s="143" t="s">
        <v>462</v>
      </c>
      <c r="E43" s="144"/>
      <c r="F43" s="144"/>
      <c r="G43" s="144"/>
      <c r="H43" s="144"/>
      <c r="I43" s="144"/>
      <c r="K43" s="75">
        <v>1.5</v>
      </c>
      <c r="M43" s="14"/>
      <c r="N43" s="17"/>
    </row>
    <row r="44" spans="1:14" ht="12.75">
      <c r="A44" s="17"/>
      <c r="D44" s="143" t="s">
        <v>463</v>
      </c>
      <c r="E44" s="144"/>
      <c r="F44" s="144"/>
      <c r="G44" s="144"/>
      <c r="H44" s="144"/>
      <c r="I44" s="144"/>
      <c r="K44" s="75">
        <v>0</v>
      </c>
      <c r="M44" s="14"/>
      <c r="N44" s="17"/>
    </row>
    <row r="45" spans="1:14" ht="12.75">
      <c r="A45" s="17"/>
      <c r="D45" s="143" t="s">
        <v>441</v>
      </c>
      <c r="E45" s="144"/>
      <c r="F45" s="144"/>
      <c r="G45" s="144"/>
      <c r="H45" s="144"/>
      <c r="I45" s="144"/>
      <c r="K45" s="75">
        <v>1.3</v>
      </c>
      <c r="M45" s="14"/>
      <c r="N45" s="17"/>
    </row>
    <row r="46" spans="1:64" ht="12.75">
      <c r="A46" s="38" t="s">
        <v>86</v>
      </c>
      <c r="B46" s="45" t="s">
        <v>61</v>
      </c>
      <c r="C46" s="45" t="s">
        <v>271</v>
      </c>
      <c r="D46" s="141" t="s">
        <v>464</v>
      </c>
      <c r="E46" s="142"/>
      <c r="F46" s="142"/>
      <c r="G46" s="142"/>
      <c r="H46" s="142"/>
      <c r="I46" s="142"/>
      <c r="J46" s="45" t="s">
        <v>972</v>
      </c>
      <c r="K46" s="74">
        <f>'Stavební rozpočet'!K46</f>
        <v>12.8</v>
      </c>
      <c r="L46" s="53">
        <f>'Stavební rozpočet'!L46</f>
        <v>0</v>
      </c>
      <c r="M46" s="65">
        <f>K46*L46</f>
        <v>0</v>
      </c>
      <c r="N46" s="17"/>
      <c r="Z46" s="33">
        <f>IF(AQ46="5",BJ46,0)</f>
        <v>0</v>
      </c>
      <c r="AB46" s="33">
        <f>IF(AQ46="1",BH46,0)</f>
        <v>0</v>
      </c>
      <c r="AC46" s="33">
        <f>IF(AQ46="1",BI46,0)</f>
        <v>0</v>
      </c>
      <c r="AD46" s="33">
        <f>IF(AQ46="7",BH46,0)</f>
        <v>0</v>
      </c>
      <c r="AE46" s="33">
        <f>IF(AQ46="7",BI46,0)</f>
        <v>0</v>
      </c>
      <c r="AF46" s="33">
        <f>IF(AQ46="2",BH46,0)</f>
        <v>0</v>
      </c>
      <c r="AG46" s="33">
        <f>IF(AQ46="2",BI46,0)</f>
        <v>0</v>
      </c>
      <c r="AH46" s="33">
        <f>IF(AQ46="0",BJ46,0)</f>
        <v>0</v>
      </c>
      <c r="AI46" s="58" t="s">
        <v>61</v>
      </c>
      <c r="AJ46" s="53">
        <f>IF(AN46=0,M46,0)</f>
        <v>0</v>
      </c>
      <c r="AK46" s="53">
        <f>IF(AN46=15,M46,0)</f>
        <v>0</v>
      </c>
      <c r="AL46" s="53">
        <f>IF(AN46=21,M46,0)</f>
        <v>0</v>
      </c>
      <c r="AN46" s="33">
        <v>21</v>
      </c>
      <c r="AO46" s="33">
        <f>L46*0</f>
        <v>0</v>
      </c>
      <c r="AP46" s="33">
        <f>L46*(1-0)</f>
        <v>0</v>
      </c>
      <c r="AQ46" s="59" t="s">
        <v>80</v>
      </c>
      <c r="AV46" s="33">
        <f>AW46+AX46</f>
        <v>0</v>
      </c>
      <c r="AW46" s="33">
        <f>K46*AO46</f>
        <v>0</v>
      </c>
      <c r="AX46" s="33">
        <f>K46*AP46</f>
        <v>0</v>
      </c>
      <c r="AY46" s="61" t="s">
        <v>990</v>
      </c>
      <c r="AZ46" s="61" t="s">
        <v>1018</v>
      </c>
      <c r="BA46" s="58" t="s">
        <v>1037</v>
      </c>
      <c r="BC46" s="33">
        <f>AW46+AX46</f>
        <v>0</v>
      </c>
      <c r="BD46" s="33">
        <f>L46/(100-BE46)*100</f>
        <v>0</v>
      </c>
      <c r="BE46" s="33">
        <v>0</v>
      </c>
      <c r="BF46" s="33">
        <f>46</f>
        <v>46</v>
      </c>
      <c r="BH46" s="53">
        <f>K46*AO46</f>
        <v>0</v>
      </c>
      <c r="BI46" s="53">
        <f>K46*AP46</f>
        <v>0</v>
      </c>
      <c r="BJ46" s="53">
        <f>K46*L46</f>
        <v>0</v>
      </c>
      <c r="BK46" s="53" t="s">
        <v>1046</v>
      </c>
      <c r="BL46" s="33">
        <v>11</v>
      </c>
    </row>
    <row r="47" spans="1:14" ht="12.75">
      <c r="A47" s="17"/>
      <c r="D47" s="143" t="s">
        <v>465</v>
      </c>
      <c r="E47" s="144"/>
      <c r="F47" s="144"/>
      <c r="G47" s="144"/>
      <c r="H47" s="144"/>
      <c r="I47" s="144"/>
      <c r="K47" s="75">
        <v>12.8</v>
      </c>
      <c r="M47" s="14"/>
      <c r="N47" s="17"/>
    </row>
    <row r="48" spans="1:47" ht="12.75">
      <c r="A48" s="37"/>
      <c r="B48" s="44" t="s">
        <v>61</v>
      </c>
      <c r="C48" s="44" t="s">
        <v>92</v>
      </c>
      <c r="D48" s="139" t="s">
        <v>466</v>
      </c>
      <c r="E48" s="140"/>
      <c r="F48" s="140"/>
      <c r="G48" s="140"/>
      <c r="H48" s="140"/>
      <c r="I48" s="140"/>
      <c r="J48" s="50" t="s">
        <v>59</v>
      </c>
      <c r="K48" s="50" t="s">
        <v>59</v>
      </c>
      <c r="L48" s="50" t="s">
        <v>59</v>
      </c>
      <c r="M48" s="64">
        <f>SUM(M49:M91)</f>
        <v>0</v>
      </c>
      <c r="N48" s="17"/>
      <c r="AI48" s="58" t="s">
        <v>61</v>
      </c>
      <c r="AS48" s="68">
        <f>SUM(AJ49:AJ91)</f>
        <v>0</v>
      </c>
      <c r="AT48" s="68">
        <f>SUM(AK49:AK91)</f>
        <v>0</v>
      </c>
      <c r="AU48" s="68">
        <f>SUM(AL49:AL91)</f>
        <v>0</v>
      </c>
    </row>
    <row r="49" spans="1:64" ht="12.75">
      <c r="A49" s="38" t="s">
        <v>87</v>
      </c>
      <c r="B49" s="45" t="s">
        <v>61</v>
      </c>
      <c r="C49" s="45" t="s">
        <v>272</v>
      </c>
      <c r="D49" s="141" t="s">
        <v>467</v>
      </c>
      <c r="E49" s="142"/>
      <c r="F49" s="142"/>
      <c r="G49" s="142"/>
      <c r="H49" s="142"/>
      <c r="I49" s="142"/>
      <c r="J49" s="45" t="s">
        <v>973</v>
      </c>
      <c r="K49" s="74">
        <f>'Stavební rozpočet'!K49</f>
        <v>17.1</v>
      </c>
      <c r="L49" s="53">
        <f>'Stavební rozpočet'!L49</f>
        <v>0</v>
      </c>
      <c r="M49" s="65">
        <f>K49*L49</f>
        <v>0</v>
      </c>
      <c r="N49" s="17"/>
      <c r="Z49" s="33">
        <f>IF(AQ49="5",BJ49,0)</f>
        <v>0</v>
      </c>
      <c r="AB49" s="33">
        <f>IF(AQ49="1",BH49,0)</f>
        <v>0</v>
      </c>
      <c r="AC49" s="33">
        <f>IF(AQ49="1",BI49,0)</f>
        <v>0</v>
      </c>
      <c r="AD49" s="33">
        <f>IF(AQ49="7",BH49,0)</f>
        <v>0</v>
      </c>
      <c r="AE49" s="33">
        <f>IF(AQ49="7",BI49,0)</f>
        <v>0</v>
      </c>
      <c r="AF49" s="33">
        <f>IF(AQ49="2",BH49,0)</f>
        <v>0</v>
      </c>
      <c r="AG49" s="33">
        <f>IF(AQ49="2",BI49,0)</f>
        <v>0</v>
      </c>
      <c r="AH49" s="33">
        <f>IF(AQ49="0",BJ49,0)</f>
        <v>0</v>
      </c>
      <c r="AI49" s="58" t="s">
        <v>61</v>
      </c>
      <c r="AJ49" s="53">
        <f>IF(AN49=0,M49,0)</f>
        <v>0</v>
      </c>
      <c r="AK49" s="53">
        <f>IF(AN49=15,M49,0)</f>
        <v>0</v>
      </c>
      <c r="AL49" s="53">
        <f>IF(AN49=21,M49,0)</f>
        <v>0</v>
      </c>
      <c r="AN49" s="33">
        <v>21</v>
      </c>
      <c r="AO49" s="33">
        <f>L49*0</f>
        <v>0</v>
      </c>
      <c r="AP49" s="33">
        <f>L49*(1-0)</f>
        <v>0</v>
      </c>
      <c r="AQ49" s="59" t="s">
        <v>80</v>
      </c>
      <c r="AV49" s="33">
        <f>AW49+AX49</f>
        <v>0</v>
      </c>
      <c r="AW49" s="33">
        <f>K49*AO49</f>
        <v>0</v>
      </c>
      <c r="AX49" s="33">
        <f>K49*AP49</f>
        <v>0</v>
      </c>
      <c r="AY49" s="61" t="s">
        <v>991</v>
      </c>
      <c r="AZ49" s="61" t="s">
        <v>1018</v>
      </c>
      <c r="BA49" s="58" t="s">
        <v>1037</v>
      </c>
      <c r="BC49" s="33">
        <f>AW49+AX49</f>
        <v>0</v>
      </c>
      <c r="BD49" s="33">
        <f>L49/(100-BE49)*100</f>
        <v>0</v>
      </c>
      <c r="BE49" s="33">
        <v>0</v>
      </c>
      <c r="BF49" s="33">
        <f>49</f>
        <v>49</v>
      </c>
      <c r="BH49" s="53">
        <f>K49*AO49</f>
        <v>0</v>
      </c>
      <c r="BI49" s="53">
        <f>K49*AP49</f>
        <v>0</v>
      </c>
      <c r="BJ49" s="53">
        <f>K49*L49</f>
        <v>0</v>
      </c>
      <c r="BK49" s="53" t="s">
        <v>1046</v>
      </c>
      <c r="BL49" s="33">
        <v>13</v>
      </c>
    </row>
    <row r="50" spans="1:14" ht="12.75">
      <c r="A50" s="17"/>
      <c r="D50" s="143" t="s">
        <v>468</v>
      </c>
      <c r="E50" s="144"/>
      <c r="F50" s="144"/>
      <c r="G50" s="144"/>
      <c r="H50" s="144"/>
      <c r="I50" s="144"/>
      <c r="K50" s="75">
        <v>3</v>
      </c>
      <c r="M50" s="14"/>
      <c r="N50" s="17"/>
    </row>
    <row r="51" spans="1:14" ht="12.75">
      <c r="A51" s="17"/>
      <c r="D51" s="143" t="s">
        <v>469</v>
      </c>
      <c r="E51" s="144"/>
      <c r="F51" s="144"/>
      <c r="G51" s="144"/>
      <c r="H51" s="144"/>
      <c r="I51" s="144"/>
      <c r="K51" s="75">
        <v>2.88</v>
      </c>
      <c r="M51" s="14"/>
      <c r="N51" s="17"/>
    </row>
    <row r="52" spans="1:14" ht="12.75">
      <c r="A52" s="17"/>
      <c r="D52" s="143" t="s">
        <v>470</v>
      </c>
      <c r="E52" s="144"/>
      <c r="F52" s="144"/>
      <c r="G52" s="144"/>
      <c r="H52" s="144"/>
      <c r="I52" s="144"/>
      <c r="K52" s="75">
        <v>1.44</v>
      </c>
      <c r="M52" s="14"/>
      <c r="N52" s="17"/>
    </row>
    <row r="53" spans="1:14" ht="12.75">
      <c r="A53" s="17"/>
      <c r="D53" s="143" t="s">
        <v>471</v>
      </c>
      <c r="E53" s="144"/>
      <c r="F53" s="144"/>
      <c r="G53" s="144"/>
      <c r="H53" s="144"/>
      <c r="I53" s="144"/>
      <c r="K53" s="75">
        <v>1.44</v>
      </c>
      <c r="M53" s="14"/>
      <c r="N53" s="17"/>
    </row>
    <row r="54" spans="1:14" ht="12.75">
      <c r="A54" s="17"/>
      <c r="D54" s="143" t="s">
        <v>472</v>
      </c>
      <c r="E54" s="144"/>
      <c r="F54" s="144"/>
      <c r="G54" s="144"/>
      <c r="H54" s="144"/>
      <c r="I54" s="144"/>
      <c r="K54" s="75">
        <v>1.44</v>
      </c>
      <c r="M54" s="14"/>
      <c r="N54" s="17"/>
    </row>
    <row r="55" spans="1:14" ht="12.75">
      <c r="A55" s="17"/>
      <c r="D55" s="143" t="s">
        <v>473</v>
      </c>
      <c r="E55" s="144"/>
      <c r="F55" s="144"/>
      <c r="G55" s="144"/>
      <c r="H55" s="144"/>
      <c r="I55" s="144"/>
      <c r="K55" s="75">
        <v>1.5</v>
      </c>
      <c r="M55" s="14"/>
      <c r="N55" s="17"/>
    </row>
    <row r="56" spans="1:14" ht="12.75">
      <c r="A56" s="17"/>
      <c r="D56" s="143" t="s">
        <v>474</v>
      </c>
      <c r="E56" s="144"/>
      <c r="F56" s="144"/>
      <c r="G56" s="144"/>
      <c r="H56" s="144"/>
      <c r="I56" s="144"/>
      <c r="K56" s="75">
        <v>5.4</v>
      </c>
      <c r="M56" s="14"/>
      <c r="N56" s="17"/>
    </row>
    <row r="57" spans="1:64" ht="12.75">
      <c r="A57" s="38" t="s">
        <v>88</v>
      </c>
      <c r="B57" s="45" t="s">
        <v>61</v>
      </c>
      <c r="C57" s="45" t="s">
        <v>273</v>
      </c>
      <c r="D57" s="141" t="s">
        <v>475</v>
      </c>
      <c r="E57" s="142"/>
      <c r="F57" s="142"/>
      <c r="G57" s="142"/>
      <c r="H57" s="142"/>
      <c r="I57" s="142"/>
      <c r="J57" s="45" t="s">
        <v>973</v>
      </c>
      <c r="K57" s="74">
        <f>'Stavební rozpočet'!K57</f>
        <v>127.398</v>
      </c>
      <c r="L57" s="53">
        <f>'Stavební rozpočet'!L57</f>
        <v>0</v>
      </c>
      <c r="M57" s="65">
        <f>K57*L57</f>
        <v>0</v>
      </c>
      <c r="N57" s="17"/>
      <c r="Z57" s="33">
        <f>IF(AQ57="5",BJ57,0)</f>
        <v>0</v>
      </c>
      <c r="AB57" s="33">
        <f>IF(AQ57="1",BH57,0)</f>
        <v>0</v>
      </c>
      <c r="AC57" s="33">
        <f>IF(AQ57="1",BI57,0)</f>
        <v>0</v>
      </c>
      <c r="AD57" s="33">
        <f>IF(AQ57="7",BH57,0)</f>
        <v>0</v>
      </c>
      <c r="AE57" s="33">
        <f>IF(AQ57="7",BI57,0)</f>
        <v>0</v>
      </c>
      <c r="AF57" s="33">
        <f>IF(AQ57="2",BH57,0)</f>
        <v>0</v>
      </c>
      <c r="AG57" s="33">
        <f>IF(AQ57="2",BI57,0)</f>
        <v>0</v>
      </c>
      <c r="AH57" s="33">
        <f>IF(AQ57="0",BJ57,0)</f>
        <v>0</v>
      </c>
      <c r="AI57" s="58" t="s">
        <v>61</v>
      </c>
      <c r="AJ57" s="53">
        <f>IF(AN57=0,M57,0)</f>
        <v>0</v>
      </c>
      <c r="AK57" s="53">
        <f>IF(AN57=15,M57,0)</f>
        <v>0</v>
      </c>
      <c r="AL57" s="53">
        <f>IF(AN57=21,M57,0)</f>
        <v>0</v>
      </c>
      <c r="AN57" s="33">
        <v>21</v>
      </c>
      <c r="AO57" s="33">
        <f>L57*0</f>
        <v>0</v>
      </c>
      <c r="AP57" s="33">
        <f>L57*(1-0)</f>
        <v>0</v>
      </c>
      <c r="AQ57" s="59" t="s">
        <v>80</v>
      </c>
      <c r="AV57" s="33">
        <f>AW57+AX57</f>
        <v>0</v>
      </c>
      <c r="AW57" s="33">
        <f>K57*AO57</f>
        <v>0</v>
      </c>
      <c r="AX57" s="33">
        <f>K57*AP57</f>
        <v>0</v>
      </c>
      <c r="AY57" s="61" t="s">
        <v>991</v>
      </c>
      <c r="AZ57" s="61" t="s">
        <v>1018</v>
      </c>
      <c r="BA57" s="58" t="s">
        <v>1037</v>
      </c>
      <c r="BC57" s="33">
        <f>AW57+AX57</f>
        <v>0</v>
      </c>
      <c r="BD57" s="33">
        <f>L57/(100-BE57)*100</f>
        <v>0</v>
      </c>
      <c r="BE57" s="33">
        <v>0</v>
      </c>
      <c r="BF57" s="33">
        <f>57</f>
        <v>57</v>
      </c>
      <c r="BH57" s="53">
        <f>K57*AO57</f>
        <v>0</v>
      </c>
      <c r="BI57" s="53">
        <f>K57*AP57</f>
        <v>0</v>
      </c>
      <c r="BJ57" s="53">
        <f>K57*L57</f>
        <v>0</v>
      </c>
      <c r="BK57" s="53" t="s">
        <v>1046</v>
      </c>
      <c r="BL57" s="33">
        <v>13</v>
      </c>
    </row>
    <row r="58" spans="1:14" ht="12.75">
      <c r="A58" s="17"/>
      <c r="D58" s="143" t="s">
        <v>476</v>
      </c>
      <c r="E58" s="144"/>
      <c r="F58" s="144"/>
      <c r="G58" s="144"/>
      <c r="H58" s="144"/>
      <c r="I58" s="144"/>
      <c r="K58" s="75">
        <v>0</v>
      </c>
      <c r="M58" s="14"/>
      <c r="N58" s="17"/>
    </row>
    <row r="59" spans="1:14" ht="12.75">
      <c r="A59" s="17"/>
      <c r="D59" s="143" t="s">
        <v>477</v>
      </c>
      <c r="E59" s="144"/>
      <c r="F59" s="144"/>
      <c r="G59" s="144"/>
      <c r="H59" s="144"/>
      <c r="I59" s="144"/>
      <c r="K59" s="75">
        <v>33.96</v>
      </c>
      <c r="M59" s="14"/>
      <c r="N59" s="17"/>
    </row>
    <row r="60" spans="1:14" ht="12.75">
      <c r="A60" s="17"/>
      <c r="D60" s="143" t="s">
        <v>478</v>
      </c>
      <c r="E60" s="144"/>
      <c r="F60" s="144"/>
      <c r="G60" s="144"/>
      <c r="H60" s="144"/>
      <c r="I60" s="144"/>
      <c r="K60" s="75">
        <v>9.378</v>
      </c>
      <c r="M60" s="14"/>
      <c r="N60" s="17"/>
    </row>
    <row r="61" spans="1:14" ht="12.75">
      <c r="A61" s="17"/>
      <c r="D61" s="143" t="s">
        <v>479</v>
      </c>
      <c r="E61" s="144"/>
      <c r="F61" s="144"/>
      <c r="G61" s="144"/>
      <c r="H61" s="144"/>
      <c r="I61" s="144"/>
      <c r="K61" s="75">
        <v>5.844</v>
      </c>
      <c r="M61" s="14"/>
      <c r="N61" s="17"/>
    </row>
    <row r="62" spans="1:14" ht="12.75">
      <c r="A62" s="17"/>
      <c r="D62" s="143" t="s">
        <v>480</v>
      </c>
      <c r="E62" s="144"/>
      <c r="F62" s="144"/>
      <c r="G62" s="144"/>
      <c r="H62" s="144"/>
      <c r="I62" s="144"/>
      <c r="K62" s="75">
        <v>1.77</v>
      </c>
      <c r="M62" s="14"/>
      <c r="N62" s="17"/>
    </row>
    <row r="63" spans="1:14" ht="12.75">
      <c r="A63" s="17"/>
      <c r="D63" s="143" t="s">
        <v>481</v>
      </c>
      <c r="E63" s="144"/>
      <c r="F63" s="144"/>
      <c r="G63" s="144"/>
      <c r="H63" s="144"/>
      <c r="I63" s="144"/>
      <c r="K63" s="75">
        <v>0.258</v>
      </c>
      <c r="M63" s="14"/>
      <c r="N63" s="17"/>
    </row>
    <row r="64" spans="1:14" ht="12.75">
      <c r="A64" s="17"/>
      <c r="D64" s="143" t="s">
        <v>482</v>
      </c>
      <c r="E64" s="144"/>
      <c r="F64" s="144"/>
      <c r="G64" s="144"/>
      <c r="H64" s="144"/>
      <c r="I64" s="144"/>
      <c r="K64" s="75">
        <v>24.504</v>
      </c>
      <c r="M64" s="14"/>
      <c r="N64" s="17"/>
    </row>
    <row r="65" spans="1:14" ht="12.75">
      <c r="A65" s="17"/>
      <c r="D65" s="143" t="s">
        <v>483</v>
      </c>
      <c r="E65" s="144"/>
      <c r="F65" s="144"/>
      <c r="G65" s="144"/>
      <c r="H65" s="144"/>
      <c r="I65" s="144"/>
      <c r="K65" s="75">
        <v>2.862</v>
      </c>
      <c r="M65" s="14"/>
      <c r="N65" s="17"/>
    </row>
    <row r="66" spans="1:14" ht="12.75">
      <c r="A66" s="17"/>
      <c r="D66" s="143" t="s">
        <v>484</v>
      </c>
      <c r="E66" s="144"/>
      <c r="F66" s="144"/>
      <c r="G66" s="144"/>
      <c r="H66" s="144"/>
      <c r="I66" s="144"/>
      <c r="K66" s="75">
        <v>4.026</v>
      </c>
      <c r="M66" s="14"/>
      <c r="N66" s="17"/>
    </row>
    <row r="67" spans="1:14" ht="12.75">
      <c r="A67" s="17"/>
      <c r="D67" s="143" t="s">
        <v>485</v>
      </c>
      <c r="E67" s="144"/>
      <c r="F67" s="144"/>
      <c r="G67" s="144"/>
      <c r="H67" s="144"/>
      <c r="I67" s="144"/>
      <c r="K67" s="75">
        <v>1.674</v>
      </c>
      <c r="M67" s="14"/>
      <c r="N67" s="17"/>
    </row>
    <row r="68" spans="1:14" ht="12.75">
      <c r="A68" s="17"/>
      <c r="D68" s="143" t="s">
        <v>486</v>
      </c>
      <c r="E68" s="144"/>
      <c r="F68" s="144"/>
      <c r="G68" s="144"/>
      <c r="H68" s="144"/>
      <c r="I68" s="144"/>
      <c r="K68" s="75">
        <v>1.512</v>
      </c>
      <c r="M68" s="14"/>
      <c r="N68" s="17"/>
    </row>
    <row r="69" spans="1:14" ht="12.75">
      <c r="A69" s="17"/>
      <c r="D69" s="143" t="s">
        <v>487</v>
      </c>
      <c r="E69" s="144"/>
      <c r="F69" s="144"/>
      <c r="G69" s="144"/>
      <c r="H69" s="144"/>
      <c r="I69" s="144"/>
      <c r="K69" s="75">
        <v>0.57</v>
      </c>
      <c r="M69" s="14"/>
      <c r="N69" s="17"/>
    </row>
    <row r="70" spans="1:14" ht="12.75">
      <c r="A70" s="17"/>
      <c r="D70" s="143" t="s">
        <v>488</v>
      </c>
      <c r="E70" s="144"/>
      <c r="F70" s="144"/>
      <c r="G70" s="144"/>
      <c r="H70" s="144"/>
      <c r="I70" s="144"/>
      <c r="K70" s="75">
        <v>31.5</v>
      </c>
      <c r="M70" s="14"/>
      <c r="N70" s="17"/>
    </row>
    <row r="71" spans="1:14" ht="12.75">
      <c r="A71" s="17"/>
      <c r="D71" s="143" t="s">
        <v>489</v>
      </c>
      <c r="E71" s="144"/>
      <c r="F71" s="144"/>
      <c r="G71" s="144"/>
      <c r="H71" s="144"/>
      <c r="I71" s="144"/>
      <c r="K71" s="75">
        <v>8.76</v>
      </c>
      <c r="M71" s="14"/>
      <c r="N71" s="17"/>
    </row>
    <row r="72" spans="1:14" ht="12.75">
      <c r="A72" s="17"/>
      <c r="D72" s="143" t="s">
        <v>490</v>
      </c>
      <c r="E72" s="144"/>
      <c r="F72" s="144"/>
      <c r="G72" s="144"/>
      <c r="H72" s="144"/>
      <c r="I72" s="144"/>
      <c r="K72" s="75">
        <v>0.78</v>
      </c>
      <c r="M72" s="14"/>
      <c r="N72" s="17"/>
    </row>
    <row r="73" spans="1:64" ht="12.75">
      <c r="A73" s="38" t="s">
        <v>89</v>
      </c>
      <c r="B73" s="45" t="s">
        <v>61</v>
      </c>
      <c r="C73" s="45" t="s">
        <v>274</v>
      </c>
      <c r="D73" s="141" t="s">
        <v>491</v>
      </c>
      <c r="E73" s="142"/>
      <c r="F73" s="142"/>
      <c r="G73" s="142"/>
      <c r="H73" s="142"/>
      <c r="I73" s="142"/>
      <c r="J73" s="45" t="s">
        <v>973</v>
      </c>
      <c r="K73" s="74">
        <f>'Stavební rozpočet'!K73</f>
        <v>63.699</v>
      </c>
      <c r="L73" s="53">
        <f>'Stavební rozpočet'!L73</f>
        <v>0</v>
      </c>
      <c r="M73" s="65">
        <f>K73*L73</f>
        <v>0</v>
      </c>
      <c r="N73" s="17"/>
      <c r="Z73" s="33">
        <f>IF(AQ73="5",BJ73,0)</f>
        <v>0</v>
      </c>
      <c r="AB73" s="33">
        <f>IF(AQ73="1",BH73,0)</f>
        <v>0</v>
      </c>
      <c r="AC73" s="33">
        <f>IF(AQ73="1",BI73,0)</f>
        <v>0</v>
      </c>
      <c r="AD73" s="33">
        <f>IF(AQ73="7",BH73,0)</f>
        <v>0</v>
      </c>
      <c r="AE73" s="33">
        <f>IF(AQ73="7",BI73,0)</f>
        <v>0</v>
      </c>
      <c r="AF73" s="33">
        <f>IF(AQ73="2",BH73,0)</f>
        <v>0</v>
      </c>
      <c r="AG73" s="33">
        <f>IF(AQ73="2",BI73,0)</f>
        <v>0</v>
      </c>
      <c r="AH73" s="33">
        <f>IF(AQ73="0",BJ73,0)</f>
        <v>0</v>
      </c>
      <c r="AI73" s="58" t="s">
        <v>61</v>
      </c>
      <c r="AJ73" s="53">
        <f>IF(AN73=0,M73,0)</f>
        <v>0</v>
      </c>
      <c r="AK73" s="53">
        <f>IF(AN73=15,M73,0)</f>
        <v>0</v>
      </c>
      <c r="AL73" s="53">
        <f>IF(AN73=21,M73,0)</f>
        <v>0</v>
      </c>
      <c r="AN73" s="33">
        <v>21</v>
      </c>
      <c r="AO73" s="33">
        <f>L73*0</f>
        <v>0</v>
      </c>
      <c r="AP73" s="33">
        <f>L73*(1-0)</f>
        <v>0</v>
      </c>
      <c r="AQ73" s="59" t="s">
        <v>80</v>
      </c>
      <c r="AV73" s="33">
        <f>AW73+AX73</f>
        <v>0</v>
      </c>
      <c r="AW73" s="33">
        <f>K73*AO73</f>
        <v>0</v>
      </c>
      <c r="AX73" s="33">
        <f>K73*AP73</f>
        <v>0</v>
      </c>
      <c r="AY73" s="61" t="s">
        <v>991</v>
      </c>
      <c r="AZ73" s="61" t="s">
        <v>1018</v>
      </c>
      <c r="BA73" s="58" t="s">
        <v>1037</v>
      </c>
      <c r="BC73" s="33">
        <f>AW73+AX73</f>
        <v>0</v>
      </c>
      <c r="BD73" s="33">
        <f>L73/(100-BE73)*100</f>
        <v>0</v>
      </c>
      <c r="BE73" s="33">
        <v>0</v>
      </c>
      <c r="BF73" s="33">
        <f>73</f>
        <v>73</v>
      </c>
      <c r="BH73" s="53">
        <f>K73*AO73</f>
        <v>0</v>
      </c>
      <c r="BI73" s="53">
        <f>K73*AP73</f>
        <v>0</v>
      </c>
      <c r="BJ73" s="53">
        <f>K73*L73</f>
        <v>0</v>
      </c>
      <c r="BK73" s="53" t="s">
        <v>1046</v>
      </c>
      <c r="BL73" s="33">
        <v>13</v>
      </c>
    </row>
    <row r="74" spans="1:14" ht="12.75">
      <c r="A74" s="17"/>
      <c r="D74" s="143" t="s">
        <v>492</v>
      </c>
      <c r="E74" s="144"/>
      <c r="F74" s="144"/>
      <c r="G74" s="144"/>
      <c r="H74" s="144"/>
      <c r="I74" s="144"/>
      <c r="K74" s="75">
        <v>63.699</v>
      </c>
      <c r="M74" s="14"/>
      <c r="N74" s="17"/>
    </row>
    <row r="75" spans="1:64" ht="12.75">
      <c r="A75" s="38" t="s">
        <v>90</v>
      </c>
      <c r="B75" s="45" t="s">
        <v>61</v>
      </c>
      <c r="C75" s="45" t="s">
        <v>275</v>
      </c>
      <c r="D75" s="141" t="s">
        <v>493</v>
      </c>
      <c r="E75" s="142"/>
      <c r="F75" s="142"/>
      <c r="G75" s="142"/>
      <c r="H75" s="142"/>
      <c r="I75" s="142"/>
      <c r="J75" s="45" t="s">
        <v>973</v>
      </c>
      <c r="K75" s="74">
        <f>'Stavební rozpočet'!K75</f>
        <v>84.932</v>
      </c>
      <c r="L75" s="53">
        <f>'Stavební rozpočet'!L75</f>
        <v>0</v>
      </c>
      <c r="M75" s="65">
        <f>K75*L75</f>
        <v>0</v>
      </c>
      <c r="N75" s="17"/>
      <c r="Z75" s="33">
        <f>IF(AQ75="5",BJ75,0)</f>
        <v>0</v>
      </c>
      <c r="AB75" s="33">
        <f>IF(AQ75="1",BH75,0)</f>
        <v>0</v>
      </c>
      <c r="AC75" s="33">
        <f>IF(AQ75="1",BI75,0)</f>
        <v>0</v>
      </c>
      <c r="AD75" s="33">
        <f>IF(AQ75="7",BH75,0)</f>
        <v>0</v>
      </c>
      <c r="AE75" s="33">
        <f>IF(AQ75="7",BI75,0)</f>
        <v>0</v>
      </c>
      <c r="AF75" s="33">
        <f>IF(AQ75="2",BH75,0)</f>
        <v>0</v>
      </c>
      <c r="AG75" s="33">
        <f>IF(AQ75="2",BI75,0)</f>
        <v>0</v>
      </c>
      <c r="AH75" s="33">
        <f>IF(AQ75="0",BJ75,0)</f>
        <v>0</v>
      </c>
      <c r="AI75" s="58" t="s">
        <v>61</v>
      </c>
      <c r="AJ75" s="53">
        <f>IF(AN75=0,M75,0)</f>
        <v>0</v>
      </c>
      <c r="AK75" s="53">
        <f>IF(AN75=15,M75,0)</f>
        <v>0</v>
      </c>
      <c r="AL75" s="53">
        <f>IF(AN75=21,M75,0)</f>
        <v>0</v>
      </c>
      <c r="AN75" s="33">
        <v>21</v>
      </c>
      <c r="AO75" s="33">
        <f>L75*0</f>
        <v>0</v>
      </c>
      <c r="AP75" s="33">
        <f>L75*(1-0)</f>
        <v>0</v>
      </c>
      <c r="AQ75" s="59" t="s">
        <v>80</v>
      </c>
      <c r="AV75" s="33">
        <f>AW75+AX75</f>
        <v>0</v>
      </c>
      <c r="AW75" s="33">
        <f>K75*AO75</f>
        <v>0</v>
      </c>
      <c r="AX75" s="33">
        <f>K75*AP75</f>
        <v>0</v>
      </c>
      <c r="AY75" s="61" t="s">
        <v>991</v>
      </c>
      <c r="AZ75" s="61" t="s">
        <v>1018</v>
      </c>
      <c r="BA75" s="58" t="s">
        <v>1037</v>
      </c>
      <c r="BC75" s="33">
        <f>AW75+AX75</f>
        <v>0</v>
      </c>
      <c r="BD75" s="33">
        <f>L75/(100-BE75)*100</f>
        <v>0</v>
      </c>
      <c r="BE75" s="33">
        <v>0</v>
      </c>
      <c r="BF75" s="33">
        <f>75</f>
        <v>75</v>
      </c>
      <c r="BH75" s="53">
        <f>K75*AO75</f>
        <v>0</v>
      </c>
      <c r="BI75" s="53">
        <f>K75*AP75</f>
        <v>0</v>
      </c>
      <c r="BJ75" s="53">
        <f>K75*L75</f>
        <v>0</v>
      </c>
      <c r="BK75" s="53" t="s">
        <v>1046</v>
      </c>
      <c r="BL75" s="33">
        <v>13</v>
      </c>
    </row>
    <row r="76" spans="1:14" ht="12.75">
      <c r="A76" s="17"/>
      <c r="D76" s="143" t="s">
        <v>494</v>
      </c>
      <c r="E76" s="144"/>
      <c r="F76" s="144"/>
      <c r="G76" s="144"/>
      <c r="H76" s="144"/>
      <c r="I76" s="144"/>
      <c r="K76" s="75">
        <v>0</v>
      </c>
      <c r="M76" s="14"/>
      <c r="N76" s="17"/>
    </row>
    <row r="77" spans="1:14" ht="12.75">
      <c r="A77" s="17"/>
      <c r="D77" s="143" t="s">
        <v>495</v>
      </c>
      <c r="E77" s="144"/>
      <c r="F77" s="144"/>
      <c r="G77" s="144"/>
      <c r="H77" s="144"/>
      <c r="I77" s="144"/>
      <c r="K77" s="75">
        <v>22.64</v>
      </c>
      <c r="M77" s="14"/>
      <c r="N77" s="17"/>
    </row>
    <row r="78" spans="1:14" ht="12.75">
      <c r="A78" s="17"/>
      <c r="D78" s="143" t="s">
        <v>496</v>
      </c>
      <c r="E78" s="144"/>
      <c r="F78" s="144"/>
      <c r="G78" s="144"/>
      <c r="H78" s="144"/>
      <c r="I78" s="144"/>
      <c r="K78" s="75">
        <v>6.252</v>
      </c>
      <c r="M78" s="14"/>
      <c r="N78" s="17"/>
    </row>
    <row r="79" spans="1:14" ht="12.75">
      <c r="A79" s="17"/>
      <c r="D79" s="143" t="s">
        <v>497</v>
      </c>
      <c r="E79" s="144"/>
      <c r="F79" s="144"/>
      <c r="G79" s="144"/>
      <c r="H79" s="144"/>
      <c r="I79" s="144"/>
      <c r="K79" s="75">
        <v>3.896</v>
      </c>
      <c r="M79" s="14"/>
      <c r="N79" s="17"/>
    </row>
    <row r="80" spans="1:14" ht="12.75">
      <c r="A80" s="17"/>
      <c r="D80" s="143" t="s">
        <v>498</v>
      </c>
      <c r="E80" s="144"/>
      <c r="F80" s="144"/>
      <c r="G80" s="144"/>
      <c r="H80" s="144"/>
      <c r="I80" s="144"/>
      <c r="K80" s="75">
        <v>1.18</v>
      </c>
      <c r="M80" s="14"/>
      <c r="N80" s="17"/>
    </row>
    <row r="81" spans="1:14" ht="12.75">
      <c r="A81" s="17"/>
      <c r="D81" s="143" t="s">
        <v>499</v>
      </c>
      <c r="E81" s="144"/>
      <c r="F81" s="144"/>
      <c r="G81" s="144"/>
      <c r="H81" s="144"/>
      <c r="I81" s="144"/>
      <c r="K81" s="75">
        <v>0.172</v>
      </c>
      <c r="M81" s="14"/>
      <c r="N81" s="17"/>
    </row>
    <row r="82" spans="1:14" ht="12.75">
      <c r="A82" s="17"/>
      <c r="D82" s="143" t="s">
        <v>500</v>
      </c>
      <c r="E82" s="144"/>
      <c r="F82" s="144"/>
      <c r="G82" s="144"/>
      <c r="H82" s="144"/>
      <c r="I82" s="144"/>
      <c r="K82" s="75">
        <v>16.336</v>
      </c>
      <c r="M82" s="14"/>
      <c r="N82" s="17"/>
    </row>
    <row r="83" spans="1:14" ht="12.75">
      <c r="A83" s="17"/>
      <c r="D83" s="143" t="s">
        <v>501</v>
      </c>
      <c r="E83" s="144"/>
      <c r="F83" s="144"/>
      <c r="G83" s="144"/>
      <c r="H83" s="144"/>
      <c r="I83" s="144"/>
      <c r="K83" s="75">
        <v>1.908</v>
      </c>
      <c r="M83" s="14"/>
      <c r="N83" s="17"/>
    </row>
    <row r="84" spans="1:14" ht="12.75">
      <c r="A84" s="17"/>
      <c r="D84" s="143" t="s">
        <v>502</v>
      </c>
      <c r="E84" s="144"/>
      <c r="F84" s="144"/>
      <c r="G84" s="144"/>
      <c r="H84" s="144"/>
      <c r="I84" s="144"/>
      <c r="K84" s="75">
        <v>2.684</v>
      </c>
      <c r="M84" s="14"/>
      <c r="N84" s="17"/>
    </row>
    <row r="85" spans="1:14" ht="12.75">
      <c r="A85" s="17"/>
      <c r="D85" s="143" t="s">
        <v>503</v>
      </c>
      <c r="E85" s="144"/>
      <c r="F85" s="144"/>
      <c r="G85" s="144"/>
      <c r="H85" s="144"/>
      <c r="I85" s="144"/>
      <c r="K85" s="75">
        <v>1.116</v>
      </c>
      <c r="M85" s="14"/>
      <c r="N85" s="17"/>
    </row>
    <row r="86" spans="1:14" ht="12.75">
      <c r="A86" s="17"/>
      <c r="D86" s="143" t="s">
        <v>504</v>
      </c>
      <c r="E86" s="144"/>
      <c r="F86" s="144"/>
      <c r="G86" s="144"/>
      <c r="H86" s="144"/>
      <c r="I86" s="144"/>
      <c r="K86" s="75">
        <v>1.008</v>
      </c>
      <c r="M86" s="14"/>
      <c r="N86" s="17"/>
    </row>
    <row r="87" spans="1:14" ht="12.75">
      <c r="A87" s="17"/>
      <c r="D87" s="143" t="s">
        <v>505</v>
      </c>
      <c r="E87" s="144"/>
      <c r="F87" s="144"/>
      <c r="G87" s="144"/>
      <c r="H87" s="144"/>
      <c r="I87" s="144"/>
      <c r="K87" s="75">
        <v>0.38</v>
      </c>
      <c r="M87" s="14"/>
      <c r="N87" s="17"/>
    </row>
    <row r="88" spans="1:14" ht="12.75">
      <c r="A88" s="17"/>
      <c r="D88" s="143" t="s">
        <v>506</v>
      </c>
      <c r="E88" s="144"/>
      <c r="F88" s="144"/>
      <c r="G88" s="144"/>
      <c r="H88" s="144"/>
      <c r="I88" s="144"/>
      <c r="K88" s="75">
        <v>21</v>
      </c>
      <c r="M88" s="14"/>
      <c r="N88" s="17"/>
    </row>
    <row r="89" spans="1:14" ht="12.75">
      <c r="A89" s="17"/>
      <c r="D89" s="143" t="s">
        <v>507</v>
      </c>
      <c r="E89" s="144"/>
      <c r="F89" s="144"/>
      <c r="G89" s="144"/>
      <c r="H89" s="144"/>
      <c r="I89" s="144"/>
      <c r="K89" s="75">
        <v>5.84</v>
      </c>
      <c r="M89" s="14"/>
      <c r="N89" s="17"/>
    </row>
    <row r="90" spans="1:14" ht="12.75">
      <c r="A90" s="17"/>
      <c r="D90" s="143" t="s">
        <v>508</v>
      </c>
      <c r="E90" s="144"/>
      <c r="F90" s="144"/>
      <c r="G90" s="144"/>
      <c r="H90" s="144"/>
      <c r="I90" s="144"/>
      <c r="K90" s="75">
        <v>0.52</v>
      </c>
      <c r="M90" s="14"/>
      <c r="N90" s="17"/>
    </row>
    <row r="91" spans="1:64" ht="12.75">
      <c r="A91" s="38" t="s">
        <v>91</v>
      </c>
      <c r="B91" s="45" t="s">
        <v>61</v>
      </c>
      <c r="C91" s="45" t="s">
        <v>276</v>
      </c>
      <c r="D91" s="141" t="s">
        <v>509</v>
      </c>
      <c r="E91" s="142"/>
      <c r="F91" s="142"/>
      <c r="G91" s="142"/>
      <c r="H91" s="142"/>
      <c r="I91" s="142"/>
      <c r="J91" s="45" t="s">
        <v>973</v>
      </c>
      <c r="K91" s="74">
        <f>'Stavební rozpočet'!K91</f>
        <v>42.466</v>
      </c>
      <c r="L91" s="53">
        <f>'Stavební rozpočet'!L91</f>
        <v>0</v>
      </c>
      <c r="M91" s="65">
        <f>K91*L91</f>
        <v>0</v>
      </c>
      <c r="N91" s="17"/>
      <c r="Z91" s="33">
        <f>IF(AQ91="5",BJ91,0)</f>
        <v>0</v>
      </c>
      <c r="AB91" s="33">
        <f>IF(AQ91="1",BH91,0)</f>
        <v>0</v>
      </c>
      <c r="AC91" s="33">
        <f>IF(AQ91="1",BI91,0)</f>
        <v>0</v>
      </c>
      <c r="AD91" s="33">
        <f>IF(AQ91="7",BH91,0)</f>
        <v>0</v>
      </c>
      <c r="AE91" s="33">
        <f>IF(AQ91="7",BI91,0)</f>
        <v>0</v>
      </c>
      <c r="AF91" s="33">
        <f>IF(AQ91="2",BH91,0)</f>
        <v>0</v>
      </c>
      <c r="AG91" s="33">
        <f>IF(AQ91="2",BI91,0)</f>
        <v>0</v>
      </c>
      <c r="AH91" s="33">
        <f>IF(AQ91="0",BJ91,0)</f>
        <v>0</v>
      </c>
      <c r="AI91" s="58" t="s">
        <v>61</v>
      </c>
      <c r="AJ91" s="53">
        <f>IF(AN91=0,M91,0)</f>
        <v>0</v>
      </c>
      <c r="AK91" s="53">
        <f>IF(AN91=15,M91,0)</f>
        <v>0</v>
      </c>
      <c r="AL91" s="53">
        <f>IF(AN91=21,M91,0)</f>
        <v>0</v>
      </c>
      <c r="AN91" s="33">
        <v>21</v>
      </c>
      <c r="AO91" s="33">
        <f>L91*0</f>
        <v>0</v>
      </c>
      <c r="AP91" s="33">
        <f>L91*(1-0)</f>
        <v>0</v>
      </c>
      <c r="AQ91" s="59" t="s">
        <v>80</v>
      </c>
      <c r="AV91" s="33">
        <f>AW91+AX91</f>
        <v>0</v>
      </c>
      <c r="AW91" s="33">
        <f>K91*AO91</f>
        <v>0</v>
      </c>
      <c r="AX91" s="33">
        <f>K91*AP91</f>
        <v>0</v>
      </c>
      <c r="AY91" s="61" t="s">
        <v>991</v>
      </c>
      <c r="AZ91" s="61" t="s">
        <v>1018</v>
      </c>
      <c r="BA91" s="58" t="s">
        <v>1037</v>
      </c>
      <c r="BC91" s="33">
        <f>AW91+AX91</f>
        <v>0</v>
      </c>
      <c r="BD91" s="33">
        <f>L91/(100-BE91)*100</f>
        <v>0</v>
      </c>
      <c r="BE91" s="33">
        <v>0</v>
      </c>
      <c r="BF91" s="33">
        <f>91</f>
        <v>91</v>
      </c>
      <c r="BH91" s="53">
        <f>K91*AO91</f>
        <v>0</v>
      </c>
      <c r="BI91" s="53">
        <f>K91*AP91</f>
        <v>0</v>
      </c>
      <c r="BJ91" s="53">
        <f>K91*L91</f>
        <v>0</v>
      </c>
      <c r="BK91" s="53" t="s">
        <v>1046</v>
      </c>
      <c r="BL91" s="33">
        <v>13</v>
      </c>
    </row>
    <row r="92" spans="1:14" ht="12.75">
      <c r="A92" s="17"/>
      <c r="D92" s="143" t="s">
        <v>510</v>
      </c>
      <c r="E92" s="144"/>
      <c r="F92" s="144"/>
      <c r="G92" s="144"/>
      <c r="H92" s="144"/>
      <c r="I92" s="144"/>
      <c r="K92" s="75">
        <v>42.466</v>
      </c>
      <c r="M92" s="14"/>
      <c r="N92" s="17"/>
    </row>
    <row r="93" spans="1:47" ht="12.75">
      <c r="A93" s="37"/>
      <c r="B93" s="44" t="s">
        <v>61</v>
      </c>
      <c r="C93" s="44" t="s">
        <v>94</v>
      </c>
      <c r="D93" s="139" t="s">
        <v>511</v>
      </c>
      <c r="E93" s="140"/>
      <c r="F93" s="140"/>
      <c r="G93" s="140"/>
      <c r="H93" s="140"/>
      <c r="I93" s="140"/>
      <c r="J93" s="50" t="s">
        <v>59</v>
      </c>
      <c r="K93" s="50" t="s">
        <v>59</v>
      </c>
      <c r="L93" s="50" t="s">
        <v>59</v>
      </c>
      <c r="M93" s="64">
        <f>SUM(M94:M108)</f>
        <v>0</v>
      </c>
      <c r="N93" s="17"/>
      <c r="AI93" s="58" t="s">
        <v>61</v>
      </c>
      <c r="AS93" s="68">
        <f>SUM(AJ94:AJ108)</f>
        <v>0</v>
      </c>
      <c r="AT93" s="68">
        <f>SUM(AK94:AK108)</f>
        <v>0</v>
      </c>
      <c r="AU93" s="68">
        <f>SUM(AL94:AL108)</f>
        <v>0</v>
      </c>
    </row>
    <row r="94" spans="1:64" ht="12.75">
      <c r="A94" s="38" t="s">
        <v>92</v>
      </c>
      <c r="B94" s="45" t="s">
        <v>61</v>
      </c>
      <c r="C94" s="45" t="s">
        <v>277</v>
      </c>
      <c r="D94" s="141" t="s">
        <v>512</v>
      </c>
      <c r="E94" s="142"/>
      <c r="F94" s="142"/>
      <c r="G94" s="142"/>
      <c r="H94" s="142"/>
      <c r="I94" s="142"/>
      <c r="J94" s="45" t="s">
        <v>972</v>
      </c>
      <c r="K94" s="74">
        <f>'Stavební rozpočet'!K94</f>
        <v>615</v>
      </c>
      <c r="L94" s="53">
        <f>'Stavební rozpočet'!L94</f>
        <v>0</v>
      </c>
      <c r="M94" s="65">
        <f>K94*L94</f>
        <v>0</v>
      </c>
      <c r="N94" s="17"/>
      <c r="Z94" s="33">
        <f>IF(AQ94="5",BJ94,0)</f>
        <v>0</v>
      </c>
      <c r="AB94" s="33">
        <f>IF(AQ94="1",BH94,0)</f>
        <v>0</v>
      </c>
      <c r="AC94" s="33">
        <f>IF(AQ94="1",BI94,0)</f>
        <v>0</v>
      </c>
      <c r="AD94" s="33">
        <f>IF(AQ94="7",BH94,0)</f>
        <v>0</v>
      </c>
      <c r="AE94" s="33">
        <f>IF(AQ94="7",BI94,0)</f>
        <v>0</v>
      </c>
      <c r="AF94" s="33">
        <f>IF(AQ94="2",BH94,0)</f>
        <v>0</v>
      </c>
      <c r="AG94" s="33">
        <f>IF(AQ94="2",BI94,0)</f>
        <v>0</v>
      </c>
      <c r="AH94" s="33">
        <f>IF(AQ94="0",BJ94,0)</f>
        <v>0</v>
      </c>
      <c r="AI94" s="58" t="s">
        <v>61</v>
      </c>
      <c r="AJ94" s="53">
        <f>IF(AN94=0,M94,0)</f>
        <v>0</v>
      </c>
      <c r="AK94" s="53">
        <f>IF(AN94=15,M94,0)</f>
        <v>0</v>
      </c>
      <c r="AL94" s="53">
        <f>IF(AN94=21,M94,0)</f>
        <v>0</v>
      </c>
      <c r="AN94" s="33">
        <v>21</v>
      </c>
      <c r="AO94" s="33">
        <f>L94*0.0866734093135254</f>
        <v>0</v>
      </c>
      <c r="AP94" s="33">
        <f>L94*(1-0.0866734093135254)</f>
        <v>0</v>
      </c>
      <c r="AQ94" s="59" t="s">
        <v>80</v>
      </c>
      <c r="AV94" s="33">
        <f>AW94+AX94</f>
        <v>0</v>
      </c>
      <c r="AW94" s="33">
        <f>K94*AO94</f>
        <v>0</v>
      </c>
      <c r="AX94" s="33">
        <f>K94*AP94</f>
        <v>0</v>
      </c>
      <c r="AY94" s="61" t="s">
        <v>992</v>
      </c>
      <c r="AZ94" s="61" t="s">
        <v>1018</v>
      </c>
      <c r="BA94" s="58" t="s">
        <v>1037</v>
      </c>
      <c r="BC94" s="33">
        <f>AW94+AX94</f>
        <v>0</v>
      </c>
      <c r="BD94" s="33">
        <f>L94/(100-BE94)*100</f>
        <v>0</v>
      </c>
      <c r="BE94" s="33">
        <v>0</v>
      </c>
      <c r="BF94" s="33">
        <f>94</f>
        <v>94</v>
      </c>
      <c r="BH94" s="53">
        <f>K94*AO94</f>
        <v>0</v>
      </c>
      <c r="BI94" s="53">
        <f>K94*AP94</f>
        <v>0</v>
      </c>
      <c r="BJ94" s="53">
        <f>K94*L94</f>
        <v>0</v>
      </c>
      <c r="BK94" s="53" t="s">
        <v>1046</v>
      </c>
      <c r="BL94" s="33">
        <v>15</v>
      </c>
    </row>
    <row r="95" spans="1:14" ht="12.75">
      <c r="A95" s="17"/>
      <c r="D95" s="143" t="s">
        <v>513</v>
      </c>
      <c r="E95" s="144"/>
      <c r="F95" s="144"/>
      <c r="G95" s="144"/>
      <c r="H95" s="144"/>
      <c r="I95" s="144"/>
      <c r="K95" s="75">
        <v>123.8</v>
      </c>
      <c r="M95" s="14"/>
      <c r="N95" s="17"/>
    </row>
    <row r="96" spans="1:14" ht="12.75">
      <c r="A96" s="17"/>
      <c r="D96" s="143" t="s">
        <v>514</v>
      </c>
      <c r="E96" s="144"/>
      <c r="F96" s="144"/>
      <c r="G96" s="144"/>
      <c r="H96" s="144"/>
      <c r="I96" s="144"/>
      <c r="K96" s="75">
        <v>53.8</v>
      </c>
      <c r="M96" s="14"/>
      <c r="N96" s="17"/>
    </row>
    <row r="97" spans="1:14" ht="12.75">
      <c r="A97" s="17"/>
      <c r="D97" s="143" t="s">
        <v>515</v>
      </c>
      <c r="E97" s="144"/>
      <c r="F97" s="144"/>
      <c r="G97" s="144"/>
      <c r="H97" s="144"/>
      <c r="I97" s="144"/>
      <c r="K97" s="75">
        <v>36</v>
      </c>
      <c r="M97" s="14"/>
      <c r="N97" s="17"/>
    </row>
    <row r="98" spans="1:14" ht="12.75">
      <c r="A98" s="17"/>
      <c r="D98" s="143" t="s">
        <v>516</v>
      </c>
      <c r="E98" s="144"/>
      <c r="F98" s="144"/>
      <c r="G98" s="144"/>
      <c r="H98" s="144"/>
      <c r="I98" s="144"/>
      <c r="K98" s="75">
        <v>18</v>
      </c>
      <c r="M98" s="14"/>
      <c r="N98" s="17"/>
    </row>
    <row r="99" spans="1:14" ht="12.75">
      <c r="A99" s="17"/>
      <c r="D99" s="143" t="s">
        <v>517</v>
      </c>
      <c r="E99" s="144"/>
      <c r="F99" s="144"/>
      <c r="G99" s="144"/>
      <c r="H99" s="144"/>
      <c r="I99" s="144"/>
      <c r="K99" s="75">
        <v>120</v>
      </c>
      <c r="M99" s="14"/>
      <c r="N99" s="17"/>
    </row>
    <row r="100" spans="1:14" ht="12.75">
      <c r="A100" s="17"/>
      <c r="D100" s="143" t="s">
        <v>518</v>
      </c>
      <c r="E100" s="144"/>
      <c r="F100" s="144"/>
      <c r="G100" s="144"/>
      <c r="H100" s="144"/>
      <c r="I100" s="144"/>
      <c r="K100" s="75">
        <v>18</v>
      </c>
      <c r="M100" s="14"/>
      <c r="N100" s="17"/>
    </row>
    <row r="101" spans="1:14" ht="12.75">
      <c r="A101" s="17"/>
      <c r="D101" s="143" t="s">
        <v>519</v>
      </c>
      <c r="E101" s="144"/>
      <c r="F101" s="144"/>
      <c r="G101" s="144"/>
      <c r="H101" s="144"/>
      <c r="I101" s="144"/>
      <c r="K101" s="75">
        <v>24</v>
      </c>
      <c r="M101" s="14"/>
      <c r="N101" s="17"/>
    </row>
    <row r="102" spans="1:14" ht="12.75">
      <c r="A102" s="17"/>
      <c r="D102" s="143" t="s">
        <v>520</v>
      </c>
      <c r="E102" s="144"/>
      <c r="F102" s="144"/>
      <c r="G102" s="144"/>
      <c r="H102" s="144"/>
      <c r="I102" s="144"/>
      <c r="K102" s="75">
        <v>10</v>
      </c>
      <c r="M102" s="14"/>
      <c r="N102" s="17"/>
    </row>
    <row r="103" spans="1:14" ht="12.75">
      <c r="A103" s="17"/>
      <c r="D103" s="143" t="s">
        <v>521</v>
      </c>
      <c r="E103" s="144"/>
      <c r="F103" s="144"/>
      <c r="G103" s="144"/>
      <c r="H103" s="144"/>
      <c r="I103" s="144"/>
      <c r="K103" s="75">
        <v>9</v>
      </c>
      <c r="M103" s="14"/>
      <c r="N103" s="17"/>
    </row>
    <row r="104" spans="1:14" ht="12.75">
      <c r="A104" s="17"/>
      <c r="D104" s="143" t="s">
        <v>522</v>
      </c>
      <c r="E104" s="144"/>
      <c r="F104" s="144"/>
      <c r="G104" s="144"/>
      <c r="H104" s="144"/>
      <c r="I104" s="144"/>
      <c r="K104" s="75">
        <v>182</v>
      </c>
      <c r="M104" s="14"/>
      <c r="N104" s="17"/>
    </row>
    <row r="105" spans="1:14" ht="12.75">
      <c r="A105" s="17"/>
      <c r="D105" s="143" t="s">
        <v>523</v>
      </c>
      <c r="E105" s="144"/>
      <c r="F105" s="144"/>
      <c r="G105" s="144"/>
      <c r="H105" s="144"/>
      <c r="I105" s="144"/>
      <c r="K105" s="75">
        <v>12.4</v>
      </c>
      <c r="M105" s="14"/>
      <c r="N105" s="17"/>
    </row>
    <row r="106" spans="1:14" ht="12.75">
      <c r="A106" s="17"/>
      <c r="D106" s="143" t="s">
        <v>524</v>
      </c>
      <c r="E106" s="144"/>
      <c r="F106" s="144"/>
      <c r="G106" s="144"/>
      <c r="H106" s="144"/>
      <c r="I106" s="144"/>
      <c r="K106" s="75">
        <v>6</v>
      </c>
      <c r="M106" s="14"/>
      <c r="N106" s="17"/>
    </row>
    <row r="107" spans="1:14" ht="12.75">
      <c r="A107" s="17"/>
      <c r="D107" s="143" t="s">
        <v>525</v>
      </c>
      <c r="E107" s="144"/>
      <c r="F107" s="144"/>
      <c r="G107" s="144"/>
      <c r="H107" s="144"/>
      <c r="I107" s="144"/>
      <c r="K107" s="75">
        <v>2</v>
      </c>
      <c r="M107" s="14"/>
      <c r="N107" s="17"/>
    </row>
    <row r="108" spans="1:64" ht="12.75">
      <c r="A108" s="38" t="s">
        <v>93</v>
      </c>
      <c r="B108" s="45" t="s">
        <v>61</v>
      </c>
      <c r="C108" s="45" t="s">
        <v>278</v>
      </c>
      <c r="D108" s="141" t="s">
        <v>526</v>
      </c>
      <c r="E108" s="142"/>
      <c r="F108" s="142"/>
      <c r="G108" s="142"/>
      <c r="H108" s="142"/>
      <c r="I108" s="142"/>
      <c r="J108" s="45" t="s">
        <v>972</v>
      </c>
      <c r="K108" s="74">
        <f>'Stavební rozpočet'!K108</f>
        <v>615</v>
      </c>
      <c r="L108" s="53">
        <f>'Stavební rozpočet'!L108</f>
        <v>0</v>
      </c>
      <c r="M108" s="65">
        <f>K108*L108</f>
        <v>0</v>
      </c>
      <c r="N108" s="17"/>
      <c r="Z108" s="33">
        <f>IF(AQ108="5",BJ108,0)</f>
        <v>0</v>
      </c>
      <c r="AB108" s="33">
        <f>IF(AQ108="1",BH108,0)</f>
        <v>0</v>
      </c>
      <c r="AC108" s="33">
        <f>IF(AQ108="1",BI108,0)</f>
        <v>0</v>
      </c>
      <c r="AD108" s="33">
        <f>IF(AQ108="7",BH108,0)</f>
        <v>0</v>
      </c>
      <c r="AE108" s="33">
        <f>IF(AQ108="7",BI108,0)</f>
        <v>0</v>
      </c>
      <c r="AF108" s="33">
        <f>IF(AQ108="2",BH108,0)</f>
        <v>0</v>
      </c>
      <c r="AG108" s="33">
        <f>IF(AQ108="2",BI108,0)</f>
        <v>0</v>
      </c>
      <c r="AH108" s="33">
        <f>IF(AQ108="0",BJ108,0)</f>
        <v>0</v>
      </c>
      <c r="AI108" s="58" t="s">
        <v>61</v>
      </c>
      <c r="AJ108" s="53">
        <f>IF(AN108=0,M108,0)</f>
        <v>0</v>
      </c>
      <c r="AK108" s="53">
        <f>IF(AN108=15,M108,0)</f>
        <v>0</v>
      </c>
      <c r="AL108" s="53">
        <f>IF(AN108=21,M108,0)</f>
        <v>0</v>
      </c>
      <c r="AN108" s="33">
        <v>21</v>
      </c>
      <c r="AO108" s="33">
        <f>L108*0</f>
        <v>0</v>
      </c>
      <c r="AP108" s="33">
        <f>L108*(1-0)</f>
        <v>0</v>
      </c>
      <c r="AQ108" s="59" t="s">
        <v>80</v>
      </c>
      <c r="AV108" s="33">
        <f>AW108+AX108</f>
        <v>0</v>
      </c>
      <c r="AW108" s="33">
        <f>K108*AO108</f>
        <v>0</v>
      </c>
      <c r="AX108" s="33">
        <f>K108*AP108</f>
        <v>0</v>
      </c>
      <c r="AY108" s="61" t="s">
        <v>992</v>
      </c>
      <c r="AZ108" s="61" t="s">
        <v>1018</v>
      </c>
      <c r="BA108" s="58" t="s">
        <v>1037</v>
      </c>
      <c r="BC108" s="33">
        <f>AW108+AX108</f>
        <v>0</v>
      </c>
      <c r="BD108" s="33">
        <f>L108/(100-BE108)*100</f>
        <v>0</v>
      </c>
      <c r="BE108" s="33">
        <v>0</v>
      </c>
      <c r="BF108" s="33">
        <f>108</f>
        <v>108</v>
      </c>
      <c r="BH108" s="53">
        <f>K108*AO108</f>
        <v>0</v>
      </c>
      <c r="BI108" s="53">
        <f>K108*AP108</f>
        <v>0</v>
      </c>
      <c r="BJ108" s="53">
        <f>K108*L108</f>
        <v>0</v>
      </c>
      <c r="BK108" s="53" t="s">
        <v>1046</v>
      </c>
      <c r="BL108" s="33">
        <v>15</v>
      </c>
    </row>
    <row r="109" spans="1:14" ht="12.75">
      <c r="A109" s="17"/>
      <c r="D109" s="143" t="s">
        <v>527</v>
      </c>
      <c r="E109" s="144"/>
      <c r="F109" s="144"/>
      <c r="G109" s="144"/>
      <c r="H109" s="144"/>
      <c r="I109" s="144"/>
      <c r="K109" s="75">
        <v>615</v>
      </c>
      <c r="M109" s="14"/>
      <c r="N109" s="17"/>
    </row>
    <row r="110" spans="1:47" ht="12.75">
      <c r="A110" s="37"/>
      <c r="B110" s="44" t="s">
        <v>61</v>
      </c>
      <c r="C110" s="44" t="s">
        <v>95</v>
      </c>
      <c r="D110" s="139" t="s">
        <v>528</v>
      </c>
      <c r="E110" s="140"/>
      <c r="F110" s="140"/>
      <c r="G110" s="140"/>
      <c r="H110" s="140"/>
      <c r="I110" s="140"/>
      <c r="J110" s="50" t="s">
        <v>59</v>
      </c>
      <c r="K110" s="50" t="s">
        <v>59</v>
      </c>
      <c r="L110" s="50" t="s">
        <v>59</v>
      </c>
      <c r="M110" s="64">
        <f>SUM(M111:M113)</f>
        <v>0</v>
      </c>
      <c r="N110" s="17"/>
      <c r="AI110" s="58" t="s">
        <v>61</v>
      </c>
      <c r="AS110" s="68">
        <f>SUM(AJ111:AJ113)</f>
        <v>0</v>
      </c>
      <c r="AT110" s="68">
        <f>SUM(AK111:AK113)</f>
        <v>0</v>
      </c>
      <c r="AU110" s="68">
        <f>SUM(AL111:AL113)</f>
        <v>0</v>
      </c>
    </row>
    <row r="111" spans="1:64" ht="12.75">
      <c r="A111" s="38" t="s">
        <v>94</v>
      </c>
      <c r="B111" s="45" t="s">
        <v>61</v>
      </c>
      <c r="C111" s="45" t="s">
        <v>279</v>
      </c>
      <c r="D111" s="141" t="s">
        <v>529</v>
      </c>
      <c r="E111" s="142"/>
      <c r="F111" s="142"/>
      <c r="G111" s="142"/>
      <c r="H111" s="142"/>
      <c r="I111" s="142"/>
      <c r="J111" s="45" t="s">
        <v>973</v>
      </c>
      <c r="K111" s="74">
        <f>'Stavební rozpočet'!K111</f>
        <v>212.33</v>
      </c>
      <c r="L111" s="53">
        <f>'Stavební rozpočet'!L111</f>
        <v>0</v>
      </c>
      <c r="M111" s="65">
        <f>K111*L111</f>
        <v>0</v>
      </c>
      <c r="N111" s="17"/>
      <c r="Z111" s="33">
        <f>IF(AQ111="5",BJ111,0)</f>
        <v>0</v>
      </c>
      <c r="AB111" s="33">
        <f>IF(AQ111="1",BH111,0)</f>
        <v>0</v>
      </c>
      <c r="AC111" s="33">
        <f>IF(AQ111="1",BI111,0)</f>
        <v>0</v>
      </c>
      <c r="AD111" s="33">
        <f>IF(AQ111="7",BH111,0)</f>
        <v>0</v>
      </c>
      <c r="AE111" s="33">
        <f>IF(AQ111="7",BI111,0)</f>
        <v>0</v>
      </c>
      <c r="AF111" s="33">
        <f>IF(AQ111="2",BH111,0)</f>
        <v>0</v>
      </c>
      <c r="AG111" s="33">
        <f>IF(AQ111="2",BI111,0)</f>
        <v>0</v>
      </c>
      <c r="AH111" s="33">
        <f>IF(AQ111="0",BJ111,0)</f>
        <v>0</v>
      </c>
      <c r="AI111" s="58" t="s">
        <v>61</v>
      </c>
      <c r="AJ111" s="53">
        <f>IF(AN111=0,M111,0)</f>
        <v>0</v>
      </c>
      <c r="AK111" s="53">
        <f>IF(AN111=15,M111,0)</f>
        <v>0</v>
      </c>
      <c r="AL111" s="53">
        <f>IF(AN111=21,M111,0)</f>
        <v>0</v>
      </c>
      <c r="AN111" s="33">
        <v>21</v>
      </c>
      <c r="AO111" s="33">
        <f>L111*0</f>
        <v>0</v>
      </c>
      <c r="AP111" s="33">
        <f>L111*(1-0)</f>
        <v>0</v>
      </c>
      <c r="AQ111" s="59" t="s">
        <v>80</v>
      </c>
      <c r="AV111" s="33">
        <f>AW111+AX111</f>
        <v>0</v>
      </c>
      <c r="AW111" s="33">
        <f>K111*AO111</f>
        <v>0</v>
      </c>
      <c r="AX111" s="33">
        <f>K111*AP111</f>
        <v>0</v>
      </c>
      <c r="AY111" s="61" t="s">
        <v>993</v>
      </c>
      <c r="AZ111" s="61" t="s">
        <v>1018</v>
      </c>
      <c r="BA111" s="58" t="s">
        <v>1037</v>
      </c>
      <c r="BC111" s="33">
        <f>AW111+AX111</f>
        <v>0</v>
      </c>
      <c r="BD111" s="33">
        <f>L111/(100-BE111)*100</f>
        <v>0</v>
      </c>
      <c r="BE111" s="33">
        <v>0</v>
      </c>
      <c r="BF111" s="33">
        <f>111</f>
        <v>111</v>
      </c>
      <c r="BH111" s="53">
        <f>K111*AO111</f>
        <v>0</v>
      </c>
      <c r="BI111" s="53">
        <f>K111*AP111</f>
        <v>0</v>
      </c>
      <c r="BJ111" s="53">
        <f>K111*L111</f>
        <v>0</v>
      </c>
      <c r="BK111" s="53" t="s">
        <v>1046</v>
      </c>
      <c r="BL111" s="33">
        <v>16</v>
      </c>
    </row>
    <row r="112" spans="1:14" ht="12.75">
      <c r="A112" s="17"/>
      <c r="D112" s="143" t="s">
        <v>530</v>
      </c>
      <c r="E112" s="144"/>
      <c r="F112" s="144"/>
      <c r="G112" s="144"/>
      <c r="H112" s="144"/>
      <c r="I112" s="144"/>
      <c r="K112" s="75">
        <v>212.33</v>
      </c>
      <c r="M112" s="14"/>
      <c r="N112" s="17"/>
    </row>
    <row r="113" spans="1:64" ht="12.75">
      <c r="A113" s="38" t="s">
        <v>95</v>
      </c>
      <c r="B113" s="45" t="s">
        <v>61</v>
      </c>
      <c r="C113" s="45" t="s">
        <v>280</v>
      </c>
      <c r="D113" s="141" t="s">
        <v>531</v>
      </c>
      <c r="E113" s="142"/>
      <c r="F113" s="142"/>
      <c r="G113" s="142"/>
      <c r="H113" s="142"/>
      <c r="I113" s="142"/>
      <c r="J113" s="45" t="s">
        <v>973</v>
      </c>
      <c r="K113" s="74">
        <f>'Stavební rozpočet'!K113</f>
        <v>849.32</v>
      </c>
      <c r="L113" s="53">
        <f>'Stavební rozpočet'!L113</f>
        <v>0</v>
      </c>
      <c r="M113" s="65">
        <f>K113*L113</f>
        <v>0</v>
      </c>
      <c r="N113" s="17"/>
      <c r="Z113" s="33">
        <f>IF(AQ113="5",BJ113,0)</f>
        <v>0</v>
      </c>
      <c r="AB113" s="33">
        <f>IF(AQ113="1",BH113,0)</f>
        <v>0</v>
      </c>
      <c r="AC113" s="33">
        <f>IF(AQ113="1",BI113,0)</f>
        <v>0</v>
      </c>
      <c r="AD113" s="33">
        <f>IF(AQ113="7",BH113,0)</f>
        <v>0</v>
      </c>
      <c r="AE113" s="33">
        <f>IF(AQ113="7",BI113,0)</f>
        <v>0</v>
      </c>
      <c r="AF113" s="33">
        <f>IF(AQ113="2",BH113,0)</f>
        <v>0</v>
      </c>
      <c r="AG113" s="33">
        <f>IF(AQ113="2",BI113,0)</f>
        <v>0</v>
      </c>
      <c r="AH113" s="33">
        <f>IF(AQ113="0",BJ113,0)</f>
        <v>0</v>
      </c>
      <c r="AI113" s="58" t="s">
        <v>61</v>
      </c>
      <c r="AJ113" s="53">
        <f>IF(AN113=0,M113,0)</f>
        <v>0</v>
      </c>
      <c r="AK113" s="53">
        <f>IF(AN113=15,M113,0)</f>
        <v>0</v>
      </c>
      <c r="AL113" s="53">
        <f>IF(AN113=21,M113,0)</f>
        <v>0</v>
      </c>
      <c r="AN113" s="33">
        <v>21</v>
      </c>
      <c r="AO113" s="33">
        <f>L113*0</f>
        <v>0</v>
      </c>
      <c r="AP113" s="33">
        <f>L113*(1-0)</f>
        <v>0</v>
      </c>
      <c r="AQ113" s="59" t="s">
        <v>80</v>
      </c>
      <c r="AV113" s="33">
        <f>AW113+AX113</f>
        <v>0</v>
      </c>
      <c r="AW113" s="33">
        <f>K113*AO113</f>
        <v>0</v>
      </c>
      <c r="AX113" s="33">
        <f>K113*AP113</f>
        <v>0</v>
      </c>
      <c r="AY113" s="61" t="s">
        <v>993</v>
      </c>
      <c r="AZ113" s="61" t="s">
        <v>1018</v>
      </c>
      <c r="BA113" s="58" t="s">
        <v>1037</v>
      </c>
      <c r="BC113" s="33">
        <f>AW113+AX113</f>
        <v>0</v>
      </c>
      <c r="BD113" s="33">
        <f>L113/(100-BE113)*100</f>
        <v>0</v>
      </c>
      <c r="BE113" s="33">
        <v>0</v>
      </c>
      <c r="BF113" s="33">
        <f>113</f>
        <v>113</v>
      </c>
      <c r="BH113" s="53">
        <f>K113*AO113</f>
        <v>0</v>
      </c>
      <c r="BI113" s="53">
        <f>K113*AP113</f>
        <v>0</v>
      </c>
      <c r="BJ113" s="53">
        <f>K113*L113</f>
        <v>0</v>
      </c>
      <c r="BK113" s="53" t="s">
        <v>1046</v>
      </c>
      <c r="BL113" s="33">
        <v>16</v>
      </c>
    </row>
    <row r="114" spans="1:14" ht="12.75">
      <c r="A114" s="17"/>
      <c r="D114" s="143" t="s">
        <v>532</v>
      </c>
      <c r="E114" s="144"/>
      <c r="F114" s="144"/>
      <c r="G114" s="144"/>
      <c r="H114" s="144"/>
      <c r="I114" s="144"/>
      <c r="K114" s="75">
        <v>849.32</v>
      </c>
      <c r="M114" s="14"/>
      <c r="N114" s="17"/>
    </row>
    <row r="115" spans="1:47" ht="12.75">
      <c r="A115" s="37"/>
      <c r="B115" s="44" t="s">
        <v>61</v>
      </c>
      <c r="C115" s="44" t="s">
        <v>96</v>
      </c>
      <c r="D115" s="139" t="s">
        <v>533</v>
      </c>
      <c r="E115" s="140"/>
      <c r="F115" s="140"/>
      <c r="G115" s="140"/>
      <c r="H115" s="140"/>
      <c r="I115" s="140"/>
      <c r="J115" s="50" t="s">
        <v>59</v>
      </c>
      <c r="K115" s="50" t="s">
        <v>59</v>
      </c>
      <c r="L115" s="50" t="s">
        <v>59</v>
      </c>
      <c r="M115" s="64">
        <f>SUM(M116:M171)</f>
        <v>0</v>
      </c>
      <c r="N115" s="17"/>
      <c r="AI115" s="58" t="s">
        <v>61</v>
      </c>
      <c r="AS115" s="68">
        <f>SUM(AJ116:AJ171)</f>
        <v>0</v>
      </c>
      <c r="AT115" s="68">
        <f>SUM(AK116:AK171)</f>
        <v>0</v>
      </c>
      <c r="AU115" s="68">
        <f>SUM(AL116:AL171)</f>
        <v>0</v>
      </c>
    </row>
    <row r="116" spans="1:64" ht="12.75">
      <c r="A116" s="38" t="s">
        <v>96</v>
      </c>
      <c r="B116" s="45" t="s">
        <v>61</v>
      </c>
      <c r="C116" s="45" t="s">
        <v>281</v>
      </c>
      <c r="D116" s="141" t="s">
        <v>534</v>
      </c>
      <c r="E116" s="142"/>
      <c r="F116" s="142"/>
      <c r="G116" s="142"/>
      <c r="H116" s="142"/>
      <c r="I116" s="142"/>
      <c r="J116" s="45" t="s">
        <v>973</v>
      </c>
      <c r="K116" s="74">
        <f>'Stavební rozpočet'!K116</f>
        <v>212.33</v>
      </c>
      <c r="L116" s="53">
        <f>'Stavební rozpočet'!L116</f>
        <v>0</v>
      </c>
      <c r="M116" s="65">
        <f>K116*L116</f>
        <v>0</v>
      </c>
      <c r="N116" s="17"/>
      <c r="Z116" s="33">
        <f>IF(AQ116="5",BJ116,0)</f>
        <v>0</v>
      </c>
      <c r="AB116" s="33">
        <f>IF(AQ116="1",BH116,0)</f>
        <v>0</v>
      </c>
      <c r="AC116" s="33">
        <f>IF(AQ116="1",BI116,0)</f>
        <v>0</v>
      </c>
      <c r="AD116" s="33">
        <f>IF(AQ116="7",BH116,0)</f>
        <v>0</v>
      </c>
      <c r="AE116" s="33">
        <f>IF(AQ116="7",BI116,0)</f>
        <v>0</v>
      </c>
      <c r="AF116" s="33">
        <f>IF(AQ116="2",BH116,0)</f>
        <v>0</v>
      </c>
      <c r="AG116" s="33">
        <f>IF(AQ116="2",BI116,0)</f>
        <v>0</v>
      </c>
      <c r="AH116" s="33">
        <f>IF(AQ116="0",BJ116,0)</f>
        <v>0</v>
      </c>
      <c r="AI116" s="58" t="s">
        <v>61</v>
      </c>
      <c r="AJ116" s="53">
        <f>IF(AN116=0,M116,0)</f>
        <v>0</v>
      </c>
      <c r="AK116" s="53">
        <f>IF(AN116=15,M116,0)</f>
        <v>0</v>
      </c>
      <c r="AL116" s="53">
        <f>IF(AN116=21,M116,0)</f>
        <v>0</v>
      </c>
      <c r="AN116" s="33">
        <v>21</v>
      </c>
      <c r="AO116" s="33">
        <f>L116*0</f>
        <v>0</v>
      </c>
      <c r="AP116" s="33">
        <f>L116*(1-0)</f>
        <v>0</v>
      </c>
      <c r="AQ116" s="59" t="s">
        <v>80</v>
      </c>
      <c r="AV116" s="33">
        <f>AW116+AX116</f>
        <v>0</v>
      </c>
      <c r="AW116" s="33">
        <f>K116*AO116</f>
        <v>0</v>
      </c>
      <c r="AX116" s="33">
        <f>K116*AP116</f>
        <v>0</v>
      </c>
      <c r="AY116" s="61" t="s">
        <v>994</v>
      </c>
      <c r="AZ116" s="61" t="s">
        <v>1018</v>
      </c>
      <c r="BA116" s="58" t="s">
        <v>1037</v>
      </c>
      <c r="BC116" s="33">
        <f>AW116+AX116</f>
        <v>0</v>
      </c>
      <c r="BD116" s="33">
        <f>L116/(100-BE116)*100</f>
        <v>0</v>
      </c>
      <c r="BE116" s="33">
        <v>0</v>
      </c>
      <c r="BF116" s="33">
        <f>116</f>
        <v>116</v>
      </c>
      <c r="BH116" s="53">
        <f>K116*AO116</f>
        <v>0</v>
      </c>
      <c r="BI116" s="53">
        <f>K116*AP116</f>
        <v>0</v>
      </c>
      <c r="BJ116" s="53">
        <f>K116*L116</f>
        <v>0</v>
      </c>
      <c r="BK116" s="53" t="s">
        <v>1046</v>
      </c>
      <c r="BL116" s="33">
        <v>17</v>
      </c>
    </row>
    <row r="117" spans="1:14" ht="12.75">
      <c r="A117" s="17"/>
      <c r="D117" s="143" t="s">
        <v>535</v>
      </c>
      <c r="E117" s="144"/>
      <c r="F117" s="144"/>
      <c r="G117" s="144"/>
      <c r="H117" s="144"/>
      <c r="I117" s="144"/>
      <c r="K117" s="75">
        <v>212.33</v>
      </c>
      <c r="M117" s="14"/>
      <c r="N117" s="17"/>
    </row>
    <row r="118" spans="1:64" ht="12.75">
      <c r="A118" s="38" t="s">
        <v>97</v>
      </c>
      <c r="B118" s="45" t="s">
        <v>61</v>
      </c>
      <c r="C118" s="45" t="s">
        <v>282</v>
      </c>
      <c r="D118" s="141" t="s">
        <v>536</v>
      </c>
      <c r="E118" s="142"/>
      <c r="F118" s="142"/>
      <c r="G118" s="142"/>
      <c r="H118" s="142"/>
      <c r="I118" s="142"/>
      <c r="J118" s="45" t="s">
        <v>973</v>
      </c>
      <c r="K118" s="74">
        <f>'Stavební rozpočet'!K118</f>
        <v>50.39</v>
      </c>
      <c r="L118" s="53">
        <f>'Stavební rozpočet'!L118</f>
        <v>0</v>
      </c>
      <c r="M118" s="65">
        <f>K118*L118</f>
        <v>0</v>
      </c>
      <c r="N118" s="17"/>
      <c r="Z118" s="33">
        <f>IF(AQ118="5",BJ118,0)</f>
        <v>0</v>
      </c>
      <c r="AB118" s="33">
        <f>IF(AQ118="1",BH118,0)</f>
        <v>0</v>
      </c>
      <c r="AC118" s="33">
        <f>IF(AQ118="1",BI118,0)</f>
        <v>0</v>
      </c>
      <c r="AD118" s="33">
        <f>IF(AQ118="7",BH118,0)</f>
        <v>0</v>
      </c>
      <c r="AE118" s="33">
        <f>IF(AQ118="7",BI118,0)</f>
        <v>0</v>
      </c>
      <c r="AF118" s="33">
        <f>IF(AQ118="2",BH118,0)</f>
        <v>0</v>
      </c>
      <c r="AG118" s="33">
        <f>IF(AQ118="2",BI118,0)</f>
        <v>0</v>
      </c>
      <c r="AH118" s="33">
        <f>IF(AQ118="0",BJ118,0)</f>
        <v>0</v>
      </c>
      <c r="AI118" s="58" t="s">
        <v>61</v>
      </c>
      <c r="AJ118" s="53">
        <f>IF(AN118=0,M118,0)</f>
        <v>0</v>
      </c>
      <c r="AK118" s="53">
        <f>IF(AN118=15,M118,0)</f>
        <v>0</v>
      </c>
      <c r="AL118" s="53">
        <f>IF(AN118=21,M118,0)</f>
        <v>0</v>
      </c>
      <c r="AN118" s="33">
        <v>21</v>
      </c>
      <c r="AO118" s="33">
        <f>L118*0</f>
        <v>0</v>
      </c>
      <c r="AP118" s="33">
        <f>L118*(1-0)</f>
        <v>0</v>
      </c>
      <c r="AQ118" s="59" t="s">
        <v>80</v>
      </c>
      <c r="AV118" s="33">
        <f>AW118+AX118</f>
        <v>0</v>
      </c>
      <c r="AW118" s="33">
        <f>K118*AO118</f>
        <v>0</v>
      </c>
      <c r="AX118" s="33">
        <f>K118*AP118</f>
        <v>0</v>
      </c>
      <c r="AY118" s="61" t="s">
        <v>994</v>
      </c>
      <c r="AZ118" s="61" t="s">
        <v>1018</v>
      </c>
      <c r="BA118" s="58" t="s">
        <v>1037</v>
      </c>
      <c r="BC118" s="33">
        <f>AW118+AX118</f>
        <v>0</v>
      </c>
      <c r="BD118" s="33">
        <f>L118/(100-BE118)*100</f>
        <v>0</v>
      </c>
      <c r="BE118" s="33">
        <v>0</v>
      </c>
      <c r="BF118" s="33">
        <f>118</f>
        <v>118</v>
      </c>
      <c r="BH118" s="53">
        <f>K118*AO118</f>
        <v>0</v>
      </c>
      <c r="BI118" s="53">
        <f>K118*AP118</f>
        <v>0</v>
      </c>
      <c r="BJ118" s="53">
        <f>K118*L118</f>
        <v>0</v>
      </c>
      <c r="BK118" s="53" t="s">
        <v>1046</v>
      </c>
      <c r="BL118" s="33">
        <v>17</v>
      </c>
    </row>
    <row r="119" spans="1:14" ht="12.75">
      <c r="A119" s="17"/>
      <c r="D119" s="143" t="s">
        <v>537</v>
      </c>
      <c r="E119" s="144"/>
      <c r="F119" s="144"/>
      <c r="G119" s="144"/>
      <c r="H119" s="144"/>
      <c r="I119" s="144"/>
      <c r="K119" s="75">
        <v>9.77</v>
      </c>
      <c r="M119" s="14"/>
      <c r="N119" s="17"/>
    </row>
    <row r="120" spans="1:14" ht="12.75">
      <c r="A120" s="17"/>
      <c r="D120" s="143" t="s">
        <v>538</v>
      </c>
      <c r="E120" s="144"/>
      <c r="F120" s="144"/>
      <c r="G120" s="144"/>
      <c r="H120" s="144"/>
      <c r="I120" s="144"/>
      <c r="K120" s="75">
        <v>6.83</v>
      </c>
      <c r="M120" s="14"/>
      <c r="N120" s="17"/>
    </row>
    <row r="121" spans="1:14" ht="12.75">
      <c r="A121" s="17"/>
      <c r="D121" s="143" t="s">
        <v>539</v>
      </c>
      <c r="E121" s="144"/>
      <c r="F121" s="144"/>
      <c r="G121" s="144"/>
      <c r="H121" s="144"/>
      <c r="I121" s="144"/>
      <c r="K121" s="75">
        <v>3.12</v>
      </c>
      <c r="M121" s="14"/>
      <c r="N121" s="17"/>
    </row>
    <row r="122" spans="1:14" ht="12.75">
      <c r="A122" s="17"/>
      <c r="D122" s="143" t="s">
        <v>540</v>
      </c>
      <c r="E122" s="144"/>
      <c r="F122" s="144"/>
      <c r="G122" s="144"/>
      <c r="H122" s="144"/>
      <c r="I122" s="144"/>
      <c r="K122" s="75">
        <v>14.6</v>
      </c>
      <c r="M122" s="14"/>
      <c r="N122" s="17"/>
    </row>
    <row r="123" spans="1:14" ht="12.75">
      <c r="A123" s="17"/>
      <c r="D123" s="143" t="s">
        <v>541</v>
      </c>
      <c r="E123" s="144"/>
      <c r="F123" s="144"/>
      <c r="G123" s="144"/>
      <c r="H123" s="144"/>
      <c r="I123" s="144"/>
      <c r="K123" s="75">
        <v>1.9</v>
      </c>
      <c r="M123" s="14"/>
      <c r="N123" s="17"/>
    </row>
    <row r="124" spans="1:14" ht="12.75">
      <c r="A124" s="17"/>
      <c r="D124" s="143" t="s">
        <v>542</v>
      </c>
      <c r="E124" s="144"/>
      <c r="F124" s="144"/>
      <c r="G124" s="144"/>
      <c r="H124" s="144"/>
      <c r="I124" s="144"/>
      <c r="K124" s="75">
        <v>3.5</v>
      </c>
      <c r="M124" s="14"/>
      <c r="N124" s="17"/>
    </row>
    <row r="125" spans="1:14" ht="12.75">
      <c r="A125" s="17"/>
      <c r="D125" s="143" t="s">
        <v>543</v>
      </c>
      <c r="E125" s="144"/>
      <c r="F125" s="144"/>
      <c r="G125" s="144"/>
      <c r="H125" s="144"/>
      <c r="I125" s="144"/>
      <c r="K125" s="75">
        <v>1.37</v>
      </c>
      <c r="M125" s="14"/>
      <c r="N125" s="17"/>
    </row>
    <row r="126" spans="1:14" ht="12.75">
      <c r="A126" s="17"/>
      <c r="D126" s="143" t="s">
        <v>544</v>
      </c>
      <c r="E126" s="144"/>
      <c r="F126" s="144"/>
      <c r="G126" s="144"/>
      <c r="H126" s="144"/>
      <c r="I126" s="144"/>
      <c r="K126" s="75">
        <v>1.69</v>
      </c>
      <c r="M126" s="14"/>
      <c r="N126" s="17"/>
    </row>
    <row r="127" spans="1:14" ht="12.75">
      <c r="A127" s="17"/>
      <c r="D127" s="143" t="s">
        <v>545</v>
      </c>
      <c r="E127" s="144"/>
      <c r="F127" s="144"/>
      <c r="G127" s="144"/>
      <c r="H127" s="144"/>
      <c r="I127" s="144"/>
      <c r="K127" s="75">
        <v>6.56</v>
      </c>
      <c r="M127" s="14"/>
      <c r="N127" s="17"/>
    </row>
    <row r="128" spans="1:14" ht="12.75">
      <c r="A128" s="17"/>
      <c r="D128" s="143" t="s">
        <v>546</v>
      </c>
      <c r="E128" s="144"/>
      <c r="F128" s="144"/>
      <c r="G128" s="144"/>
      <c r="H128" s="144"/>
      <c r="I128" s="144"/>
      <c r="K128" s="75">
        <v>1.05</v>
      </c>
      <c r="M128" s="14"/>
      <c r="N128" s="17"/>
    </row>
    <row r="129" spans="1:64" ht="12.75">
      <c r="A129" s="39" t="s">
        <v>98</v>
      </c>
      <c r="B129" s="46" t="s">
        <v>61</v>
      </c>
      <c r="C129" s="46" t="s">
        <v>283</v>
      </c>
      <c r="D129" s="148" t="s">
        <v>547</v>
      </c>
      <c r="E129" s="149"/>
      <c r="F129" s="149"/>
      <c r="G129" s="149"/>
      <c r="H129" s="149"/>
      <c r="I129" s="149"/>
      <c r="J129" s="46" t="s">
        <v>974</v>
      </c>
      <c r="K129" s="78">
        <f>'Stavební rozpočet'!K129</f>
        <v>99.626</v>
      </c>
      <c r="L129" s="54">
        <f>'Stavební rozpočet'!L129</f>
        <v>0</v>
      </c>
      <c r="M129" s="66">
        <f>K129*L129</f>
        <v>0</v>
      </c>
      <c r="N129" s="17"/>
      <c r="Z129" s="33">
        <f>IF(AQ129="5",BJ129,0)</f>
        <v>0</v>
      </c>
      <c r="AB129" s="33">
        <f>IF(AQ129="1",BH129,0)</f>
        <v>0</v>
      </c>
      <c r="AC129" s="33">
        <f>IF(AQ129="1",BI129,0)</f>
        <v>0</v>
      </c>
      <c r="AD129" s="33">
        <f>IF(AQ129="7",BH129,0)</f>
        <v>0</v>
      </c>
      <c r="AE129" s="33">
        <f>IF(AQ129="7",BI129,0)</f>
        <v>0</v>
      </c>
      <c r="AF129" s="33">
        <f>IF(AQ129="2",BH129,0)</f>
        <v>0</v>
      </c>
      <c r="AG129" s="33">
        <f>IF(AQ129="2",BI129,0)</f>
        <v>0</v>
      </c>
      <c r="AH129" s="33">
        <f>IF(AQ129="0",BJ129,0)</f>
        <v>0</v>
      </c>
      <c r="AI129" s="58" t="s">
        <v>61</v>
      </c>
      <c r="AJ129" s="54">
        <f>IF(AN129=0,M129,0)</f>
        <v>0</v>
      </c>
      <c r="AK129" s="54">
        <f>IF(AN129=15,M129,0)</f>
        <v>0</v>
      </c>
      <c r="AL129" s="54">
        <f>IF(AN129=21,M129,0)</f>
        <v>0</v>
      </c>
      <c r="AN129" s="33">
        <v>21</v>
      </c>
      <c r="AO129" s="33">
        <f>L129*1</f>
        <v>0</v>
      </c>
      <c r="AP129" s="33">
        <f>L129*(1-1)</f>
        <v>0</v>
      </c>
      <c r="AQ129" s="60" t="s">
        <v>80</v>
      </c>
      <c r="AV129" s="33">
        <f>AW129+AX129</f>
        <v>0</v>
      </c>
      <c r="AW129" s="33">
        <f>K129*AO129</f>
        <v>0</v>
      </c>
      <c r="AX129" s="33">
        <f>K129*AP129</f>
        <v>0</v>
      </c>
      <c r="AY129" s="61" t="s">
        <v>994</v>
      </c>
      <c r="AZ129" s="61" t="s">
        <v>1018</v>
      </c>
      <c r="BA129" s="58" t="s">
        <v>1037</v>
      </c>
      <c r="BC129" s="33">
        <f>AW129+AX129</f>
        <v>0</v>
      </c>
      <c r="BD129" s="33">
        <f>L129/(100-BE129)*100</f>
        <v>0</v>
      </c>
      <c r="BE129" s="33">
        <v>0</v>
      </c>
      <c r="BF129" s="33">
        <f>129</f>
        <v>129</v>
      </c>
      <c r="BH129" s="54">
        <f>K129*AO129</f>
        <v>0</v>
      </c>
      <c r="BI129" s="54">
        <f>K129*AP129</f>
        <v>0</v>
      </c>
      <c r="BJ129" s="54">
        <f>K129*L129</f>
        <v>0</v>
      </c>
      <c r="BK129" s="54" t="s">
        <v>1047</v>
      </c>
      <c r="BL129" s="33">
        <v>17</v>
      </c>
    </row>
    <row r="130" spans="1:14" ht="12.75">
      <c r="A130" s="17"/>
      <c r="D130" s="143" t="s">
        <v>548</v>
      </c>
      <c r="E130" s="144"/>
      <c r="F130" s="144"/>
      <c r="G130" s="144"/>
      <c r="H130" s="144"/>
      <c r="I130" s="144"/>
      <c r="K130" s="75">
        <v>98.64</v>
      </c>
      <c r="M130" s="14"/>
      <c r="N130" s="17"/>
    </row>
    <row r="131" spans="1:14" ht="12.75">
      <c r="A131" s="17"/>
      <c r="D131" s="143" t="s">
        <v>549</v>
      </c>
      <c r="E131" s="144"/>
      <c r="F131" s="144"/>
      <c r="G131" s="144"/>
      <c r="H131" s="144"/>
      <c r="I131" s="144"/>
      <c r="K131" s="75">
        <v>0.986</v>
      </c>
      <c r="M131" s="14"/>
      <c r="N131" s="17"/>
    </row>
    <row r="132" spans="1:64" ht="12.75">
      <c r="A132" s="38" t="s">
        <v>99</v>
      </c>
      <c r="B132" s="45" t="s">
        <v>61</v>
      </c>
      <c r="C132" s="45" t="s">
        <v>284</v>
      </c>
      <c r="D132" s="141" t="s">
        <v>550</v>
      </c>
      <c r="E132" s="142"/>
      <c r="F132" s="142"/>
      <c r="G132" s="142"/>
      <c r="H132" s="142"/>
      <c r="I132" s="142"/>
      <c r="J132" s="45" t="s">
        <v>973</v>
      </c>
      <c r="K132" s="74">
        <f>'Stavební rozpočet'!K132</f>
        <v>86.66</v>
      </c>
      <c r="L132" s="53">
        <f>'Stavební rozpočet'!L132</f>
        <v>0</v>
      </c>
      <c r="M132" s="65">
        <f>K132*L132</f>
        <v>0</v>
      </c>
      <c r="N132" s="17"/>
      <c r="Z132" s="33">
        <f>IF(AQ132="5",BJ132,0)</f>
        <v>0</v>
      </c>
      <c r="AB132" s="33">
        <f>IF(AQ132="1",BH132,0)</f>
        <v>0</v>
      </c>
      <c r="AC132" s="33">
        <f>IF(AQ132="1",BI132,0)</f>
        <v>0</v>
      </c>
      <c r="AD132" s="33">
        <f>IF(AQ132="7",BH132,0)</f>
        <v>0</v>
      </c>
      <c r="AE132" s="33">
        <f>IF(AQ132="7",BI132,0)</f>
        <v>0</v>
      </c>
      <c r="AF132" s="33">
        <f>IF(AQ132="2",BH132,0)</f>
        <v>0</v>
      </c>
      <c r="AG132" s="33">
        <f>IF(AQ132="2",BI132,0)</f>
        <v>0</v>
      </c>
      <c r="AH132" s="33">
        <f>IF(AQ132="0",BJ132,0)</f>
        <v>0</v>
      </c>
      <c r="AI132" s="58" t="s">
        <v>61</v>
      </c>
      <c r="AJ132" s="53">
        <f>IF(AN132=0,M132,0)</f>
        <v>0</v>
      </c>
      <c r="AK132" s="53">
        <f>IF(AN132=15,M132,0)</f>
        <v>0</v>
      </c>
      <c r="AL132" s="53">
        <f>IF(AN132=21,M132,0)</f>
        <v>0</v>
      </c>
      <c r="AN132" s="33">
        <v>21</v>
      </c>
      <c r="AO132" s="33">
        <f>L132*0</f>
        <v>0</v>
      </c>
      <c r="AP132" s="33">
        <f>L132*(1-0)</f>
        <v>0</v>
      </c>
      <c r="AQ132" s="59" t="s">
        <v>80</v>
      </c>
      <c r="AV132" s="33">
        <f>AW132+AX132</f>
        <v>0</v>
      </c>
      <c r="AW132" s="33">
        <f>K132*AO132</f>
        <v>0</v>
      </c>
      <c r="AX132" s="33">
        <f>K132*AP132</f>
        <v>0</v>
      </c>
      <c r="AY132" s="61" t="s">
        <v>994</v>
      </c>
      <c r="AZ132" s="61" t="s">
        <v>1018</v>
      </c>
      <c r="BA132" s="58" t="s">
        <v>1037</v>
      </c>
      <c r="BC132" s="33">
        <f>AW132+AX132</f>
        <v>0</v>
      </c>
      <c r="BD132" s="33">
        <f>L132/(100-BE132)*100</f>
        <v>0</v>
      </c>
      <c r="BE132" s="33">
        <v>0</v>
      </c>
      <c r="BF132" s="33">
        <f>132</f>
        <v>132</v>
      </c>
      <c r="BH132" s="53">
        <f>K132*AO132</f>
        <v>0</v>
      </c>
      <c r="BI132" s="53">
        <f>K132*AP132</f>
        <v>0</v>
      </c>
      <c r="BJ132" s="53">
        <f>K132*L132</f>
        <v>0</v>
      </c>
      <c r="BK132" s="53" t="s">
        <v>1046</v>
      </c>
      <c r="BL132" s="33">
        <v>17</v>
      </c>
    </row>
    <row r="133" spans="1:14" ht="12.75">
      <c r="A133" s="17"/>
      <c r="D133" s="143" t="s">
        <v>551</v>
      </c>
      <c r="E133" s="144"/>
      <c r="F133" s="144"/>
      <c r="G133" s="144"/>
      <c r="H133" s="144"/>
      <c r="I133" s="144"/>
      <c r="K133" s="75">
        <v>0</v>
      </c>
      <c r="M133" s="14"/>
      <c r="N133" s="17"/>
    </row>
    <row r="134" spans="1:14" ht="12.75">
      <c r="A134" s="17"/>
      <c r="D134" s="143" t="s">
        <v>552</v>
      </c>
      <c r="E134" s="144"/>
      <c r="F134" s="144"/>
      <c r="G134" s="144"/>
      <c r="H134" s="144"/>
      <c r="I134" s="144"/>
      <c r="K134" s="75">
        <v>8.42</v>
      </c>
      <c r="M134" s="14"/>
      <c r="N134" s="17"/>
    </row>
    <row r="135" spans="1:14" ht="12.75">
      <c r="A135" s="17"/>
      <c r="D135" s="143" t="s">
        <v>553</v>
      </c>
      <c r="E135" s="144"/>
      <c r="F135" s="144"/>
      <c r="G135" s="144"/>
      <c r="H135" s="144"/>
      <c r="I135" s="144"/>
      <c r="K135" s="75">
        <v>2.88</v>
      </c>
      <c r="M135" s="14"/>
      <c r="N135" s="17"/>
    </row>
    <row r="136" spans="1:14" ht="12.75">
      <c r="A136" s="17"/>
      <c r="D136" s="143" t="s">
        <v>554</v>
      </c>
      <c r="E136" s="144"/>
      <c r="F136" s="144"/>
      <c r="G136" s="144"/>
      <c r="H136" s="144"/>
      <c r="I136" s="144"/>
      <c r="K136" s="75">
        <v>1.68</v>
      </c>
      <c r="M136" s="14"/>
      <c r="N136" s="17"/>
    </row>
    <row r="137" spans="1:14" ht="12.75">
      <c r="A137" s="17"/>
      <c r="D137" s="143" t="s">
        <v>555</v>
      </c>
      <c r="E137" s="144"/>
      <c r="F137" s="144"/>
      <c r="G137" s="144"/>
      <c r="H137" s="144"/>
      <c r="I137" s="144"/>
      <c r="K137" s="75">
        <v>0.48</v>
      </c>
      <c r="M137" s="14"/>
      <c r="N137" s="17"/>
    </row>
    <row r="138" spans="1:14" ht="12.75">
      <c r="A138" s="17"/>
      <c r="D138" s="143" t="s">
        <v>556</v>
      </c>
      <c r="E138" s="144"/>
      <c r="F138" s="144"/>
      <c r="G138" s="144"/>
      <c r="H138" s="144"/>
      <c r="I138" s="144"/>
      <c r="K138" s="75">
        <v>0.07</v>
      </c>
      <c r="M138" s="14"/>
      <c r="N138" s="17"/>
    </row>
    <row r="139" spans="1:14" ht="12.75">
      <c r="A139" s="17"/>
      <c r="D139" s="143" t="s">
        <v>557</v>
      </c>
      <c r="E139" s="144"/>
      <c r="F139" s="144"/>
      <c r="G139" s="144"/>
      <c r="H139" s="144"/>
      <c r="I139" s="144"/>
      <c r="K139" s="75">
        <v>7.35</v>
      </c>
      <c r="M139" s="14"/>
      <c r="N139" s="17"/>
    </row>
    <row r="140" spans="1:14" ht="12.75">
      <c r="A140" s="17"/>
      <c r="D140" s="143" t="s">
        <v>558</v>
      </c>
      <c r="E140" s="144"/>
      <c r="F140" s="144"/>
      <c r="G140" s="144"/>
      <c r="H140" s="144"/>
      <c r="I140" s="144"/>
      <c r="K140" s="75">
        <v>0.78</v>
      </c>
      <c r="M140" s="14"/>
      <c r="N140" s="17"/>
    </row>
    <row r="141" spans="1:14" ht="12.75">
      <c r="A141" s="17"/>
      <c r="D141" s="143" t="s">
        <v>559</v>
      </c>
      <c r="E141" s="144"/>
      <c r="F141" s="144"/>
      <c r="G141" s="144"/>
      <c r="H141" s="144"/>
      <c r="I141" s="144"/>
      <c r="K141" s="75">
        <v>0.98</v>
      </c>
      <c r="M141" s="14"/>
      <c r="N141" s="17"/>
    </row>
    <row r="142" spans="1:14" ht="12.75">
      <c r="A142" s="17"/>
      <c r="D142" s="143" t="s">
        <v>560</v>
      </c>
      <c r="E142" s="144"/>
      <c r="F142" s="144"/>
      <c r="G142" s="144"/>
      <c r="H142" s="144"/>
      <c r="I142" s="144"/>
      <c r="K142" s="75">
        <v>0.48</v>
      </c>
      <c r="M142" s="14"/>
      <c r="N142" s="17"/>
    </row>
    <row r="143" spans="1:14" ht="12.75">
      <c r="A143" s="17"/>
      <c r="D143" s="143" t="s">
        <v>561</v>
      </c>
      <c r="E143" s="144"/>
      <c r="F143" s="144"/>
      <c r="G143" s="144"/>
      <c r="H143" s="144"/>
      <c r="I143" s="144"/>
      <c r="K143" s="75">
        <v>0.36</v>
      </c>
      <c r="M143" s="14"/>
      <c r="N143" s="17"/>
    </row>
    <row r="144" spans="1:14" ht="12.75">
      <c r="A144" s="17"/>
      <c r="D144" s="143" t="s">
        <v>562</v>
      </c>
      <c r="E144" s="144"/>
      <c r="F144" s="144"/>
      <c r="G144" s="144"/>
      <c r="H144" s="144"/>
      <c r="I144" s="144"/>
      <c r="K144" s="75">
        <v>0.16</v>
      </c>
      <c r="M144" s="14"/>
      <c r="N144" s="17"/>
    </row>
    <row r="145" spans="1:14" ht="12.75">
      <c r="A145" s="17"/>
      <c r="D145" s="143" t="s">
        <v>563</v>
      </c>
      <c r="E145" s="144"/>
      <c r="F145" s="144"/>
      <c r="G145" s="144"/>
      <c r="H145" s="144"/>
      <c r="I145" s="144"/>
      <c r="K145" s="75">
        <v>7.92</v>
      </c>
      <c r="M145" s="14"/>
      <c r="N145" s="17"/>
    </row>
    <row r="146" spans="1:14" ht="12.75">
      <c r="A146" s="17"/>
      <c r="D146" s="143" t="s">
        <v>564</v>
      </c>
      <c r="E146" s="144"/>
      <c r="F146" s="144"/>
      <c r="G146" s="144"/>
      <c r="H146" s="144"/>
      <c r="I146" s="144"/>
      <c r="K146" s="75">
        <v>0.42</v>
      </c>
      <c r="M146" s="14"/>
      <c r="N146" s="17"/>
    </row>
    <row r="147" spans="1:14" ht="12.75">
      <c r="A147" s="17"/>
      <c r="D147" s="143" t="s">
        <v>565</v>
      </c>
      <c r="E147" s="144"/>
      <c r="F147" s="144"/>
      <c r="G147" s="144"/>
      <c r="H147" s="144"/>
      <c r="I147" s="144"/>
      <c r="K147" s="75">
        <v>0.12</v>
      </c>
      <c r="M147" s="14"/>
      <c r="N147" s="17"/>
    </row>
    <row r="148" spans="1:14" ht="12.75">
      <c r="A148" s="17"/>
      <c r="D148" s="143" t="s">
        <v>566</v>
      </c>
      <c r="E148" s="144"/>
      <c r="F148" s="144"/>
      <c r="G148" s="144"/>
      <c r="H148" s="144"/>
      <c r="I148" s="144"/>
      <c r="K148" s="75">
        <v>0.08</v>
      </c>
      <c r="M148" s="14"/>
      <c r="N148" s="17"/>
    </row>
    <row r="149" spans="1:14" ht="12.75">
      <c r="A149" s="17"/>
      <c r="D149" s="143" t="s">
        <v>567</v>
      </c>
      <c r="E149" s="144"/>
      <c r="F149" s="144"/>
      <c r="G149" s="144"/>
      <c r="H149" s="144"/>
      <c r="I149" s="144"/>
      <c r="K149" s="75">
        <v>0</v>
      </c>
      <c r="M149" s="14"/>
      <c r="N149" s="17"/>
    </row>
    <row r="150" spans="1:14" ht="12.75">
      <c r="A150" s="17"/>
      <c r="D150" s="143" t="s">
        <v>568</v>
      </c>
      <c r="E150" s="144"/>
      <c r="F150" s="144"/>
      <c r="G150" s="144"/>
      <c r="H150" s="144"/>
      <c r="I150" s="144"/>
      <c r="K150" s="75">
        <v>12.36</v>
      </c>
      <c r="M150" s="14"/>
      <c r="N150" s="17"/>
    </row>
    <row r="151" spans="1:14" ht="12.75">
      <c r="A151" s="17"/>
      <c r="D151" s="143" t="s">
        <v>569</v>
      </c>
      <c r="E151" s="144"/>
      <c r="F151" s="144"/>
      <c r="G151" s="144"/>
      <c r="H151" s="144"/>
      <c r="I151" s="144"/>
      <c r="K151" s="75">
        <v>4.96</v>
      </c>
      <c r="M151" s="14"/>
      <c r="N151" s="17"/>
    </row>
    <row r="152" spans="1:14" ht="12.75">
      <c r="A152" s="17"/>
      <c r="D152" s="143" t="s">
        <v>570</v>
      </c>
      <c r="E152" s="144"/>
      <c r="F152" s="144"/>
      <c r="G152" s="144"/>
      <c r="H152" s="144"/>
      <c r="I152" s="144"/>
      <c r="K152" s="75">
        <v>3.48</v>
      </c>
      <c r="M152" s="14"/>
      <c r="N152" s="17"/>
    </row>
    <row r="153" spans="1:14" ht="12.75">
      <c r="A153" s="17"/>
      <c r="D153" s="143" t="s">
        <v>571</v>
      </c>
      <c r="E153" s="144"/>
      <c r="F153" s="144"/>
      <c r="G153" s="144"/>
      <c r="H153" s="144"/>
      <c r="I153" s="144"/>
      <c r="K153" s="75">
        <v>0.99</v>
      </c>
      <c r="M153" s="14"/>
      <c r="N153" s="17"/>
    </row>
    <row r="154" spans="1:14" ht="12.75">
      <c r="A154" s="17"/>
      <c r="D154" s="143" t="s">
        <v>572</v>
      </c>
      <c r="E154" s="144"/>
      <c r="F154" s="144"/>
      <c r="G154" s="144"/>
      <c r="H154" s="144"/>
      <c r="I154" s="144"/>
      <c r="K154" s="75">
        <v>0.15</v>
      </c>
      <c r="M154" s="14"/>
      <c r="N154" s="17"/>
    </row>
    <row r="155" spans="1:14" ht="12.75">
      <c r="A155" s="17"/>
      <c r="D155" s="143" t="s">
        <v>573</v>
      </c>
      <c r="E155" s="144"/>
      <c r="F155" s="144"/>
      <c r="G155" s="144"/>
      <c r="H155" s="144"/>
      <c r="I155" s="144"/>
      <c r="K155" s="75">
        <v>11.93</v>
      </c>
      <c r="M155" s="14"/>
      <c r="N155" s="17"/>
    </row>
    <row r="156" spans="1:14" ht="12.75">
      <c r="A156" s="17"/>
      <c r="D156" s="143" t="s">
        <v>574</v>
      </c>
      <c r="E156" s="144"/>
      <c r="F156" s="144"/>
      <c r="G156" s="144"/>
      <c r="H156" s="144"/>
      <c r="I156" s="144"/>
      <c r="K156" s="75">
        <v>1.61</v>
      </c>
      <c r="M156" s="14"/>
      <c r="N156" s="17"/>
    </row>
    <row r="157" spans="1:14" ht="12.75">
      <c r="A157" s="17"/>
      <c r="D157" s="143" t="s">
        <v>575</v>
      </c>
      <c r="E157" s="144"/>
      <c r="F157" s="144"/>
      <c r="G157" s="144"/>
      <c r="H157" s="144"/>
      <c r="I157" s="144"/>
      <c r="K157" s="75">
        <v>2.02</v>
      </c>
      <c r="M157" s="14"/>
      <c r="N157" s="17"/>
    </row>
    <row r="158" spans="1:14" ht="12.75">
      <c r="A158" s="17"/>
      <c r="D158" s="143" t="s">
        <v>576</v>
      </c>
      <c r="E158" s="144"/>
      <c r="F158" s="144"/>
      <c r="G158" s="144"/>
      <c r="H158" s="144"/>
      <c r="I158" s="144"/>
      <c r="K158" s="75">
        <v>0.99</v>
      </c>
      <c r="M158" s="14"/>
      <c r="N158" s="17"/>
    </row>
    <row r="159" spans="1:14" ht="12.75">
      <c r="A159" s="17"/>
      <c r="D159" s="143" t="s">
        <v>577</v>
      </c>
      <c r="E159" s="144"/>
      <c r="F159" s="144"/>
      <c r="G159" s="144"/>
      <c r="H159" s="144"/>
      <c r="I159" s="144"/>
      <c r="K159" s="75">
        <v>0.75</v>
      </c>
      <c r="M159" s="14"/>
      <c r="N159" s="17"/>
    </row>
    <row r="160" spans="1:14" ht="12.75">
      <c r="A160" s="17"/>
      <c r="D160" s="143" t="s">
        <v>578</v>
      </c>
      <c r="E160" s="144"/>
      <c r="F160" s="144"/>
      <c r="G160" s="144"/>
      <c r="H160" s="144"/>
      <c r="I160" s="144"/>
      <c r="K160" s="75">
        <v>0.32</v>
      </c>
      <c r="M160" s="14"/>
      <c r="N160" s="17"/>
    </row>
    <row r="161" spans="1:14" ht="12.75">
      <c r="A161" s="17"/>
      <c r="D161" s="143" t="s">
        <v>579</v>
      </c>
      <c r="E161" s="144"/>
      <c r="F161" s="144"/>
      <c r="G161" s="144"/>
      <c r="H161" s="144"/>
      <c r="I161" s="144"/>
      <c r="K161" s="75">
        <v>13.64</v>
      </c>
      <c r="M161" s="14"/>
      <c r="N161" s="17"/>
    </row>
    <row r="162" spans="1:14" ht="12.75">
      <c r="A162" s="17"/>
      <c r="D162" s="143" t="s">
        <v>580</v>
      </c>
      <c r="E162" s="144"/>
      <c r="F162" s="144"/>
      <c r="G162" s="144"/>
      <c r="H162" s="144"/>
      <c r="I162" s="144"/>
      <c r="K162" s="75">
        <v>0.87</v>
      </c>
      <c r="M162" s="14"/>
      <c r="N162" s="17"/>
    </row>
    <row r="163" spans="1:14" ht="12.75">
      <c r="A163" s="17"/>
      <c r="D163" s="143" t="s">
        <v>581</v>
      </c>
      <c r="E163" s="144"/>
      <c r="F163" s="144"/>
      <c r="G163" s="144"/>
      <c r="H163" s="144"/>
      <c r="I163" s="144"/>
      <c r="K163" s="75">
        <v>0.25</v>
      </c>
      <c r="M163" s="14"/>
      <c r="N163" s="17"/>
    </row>
    <row r="164" spans="1:14" ht="12.75">
      <c r="A164" s="17"/>
      <c r="D164" s="143" t="s">
        <v>582</v>
      </c>
      <c r="E164" s="144"/>
      <c r="F164" s="144"/>
      <c r="G164" s="144"/>
      <c r="H164" s="144"/>
      <c r="I164" s="144"/>
      <c r="K164" s="75">
        <v>0.16</v>
      </c>
      <c r="M164" s="14"/>
      <c r="N164" s="17"/>
    </row>
    <row r="165" spans="1:64" ht="12.75">
      <c r="A165" s="38" t="s">
        <v>100</v>
      </c>
      <c r="B165" s="45" t="s">
        <v>61</v>
      </c>
      <c r="C165" s="45" t="s">
        <v>285</v>
      </c>
      <c r="D165" s="141" t="s">
        <v>583</v>
      </c>
      <c r="E165" s="142"/>
      <c r="F165" s="142"/>
      <c r="G165" s="142"/>
      <c r="H165" s="142"/>
      <c r="I165" s="142"/>
      <c r="J165" s="45" t="s">
        <v>973</v>
      </c>
      <c r="K165" s="74">
        <f>'Stavební rozpočet'!K165</f>
        <v>11.12</v>
      </c>
      <c r="L165" s="53">
        <f>'Stavební rozpočet'!L165</f>
        <v>0</v>
      </c>
      <c r="M165" s="65">
        <f>K165*L165</f>
        <v>0</v>
      </c>
      <c r="N165" s="17"/>
      <c r="Z165" s="33">
        <f>IF(AQ165="5",BJ165,0)</f>
        <v>0</v>
      </c>
      <c r="AB165" s="33">
        <f>IF(AQ165="1",BH165,0)</f>
        <v>0</v>
      </c>
      <c r="AC165" s="33">
        <f>IF(AQ165="1",BI165,0)</f>
        <v>0</v>
      </c>
      <c r="AD165" s="33">
        <f>IF(AQ165="7",BH165,0)</f>
        <v>0</v>
      </c>
      <c r="AE165" s="33">
        <f>IF(AQ165="7",BI165,0)</f>
        <v>0</v>
      </c>
      <c r="AF165" s="33">
        <f>IF(AQ165="2",BH165,0)</f>
        <v>0</v>
      </c>
      <c r="AG165" s="33">
        <f>IF(AQ165="2",BI165,0)</f>
        <v>0</v>
      </c>
      <c r="AH165" s="33">
        <f>IF(AQ165="0",BJ165,0)</f>
        <v>0</v>
      </c>
      <c r="AI165" s="58" t="s">
        <v>61</v>
      </c>
      <c r="AJ165" s="53">
        <f>IF(AN165=0,M165,0)</f>
        <v>0</v>
      </c>
      <c r="AK165" s="53">
        <f>IF(AN165=15,M165,0)</f>
        <v>0</v>
      </c>
      <c r="AL165" s="53">
        <f>IF(AN165=21,M165,0)</f>
        <v>0</v>
      </c>
      <c r="AN165" s="33">
        <v>21</v>
      </c>
      <c r="AO165" s="33">
        <f>L165*0</f>
        <v>0</v>
      </c>
      <c r="AP165" s="33">
        <f>L165*(1-0)</f>
        <v>0</v>
      </c>
      <c r="AQ165" s="59" t="s">
        <v>80</v>
      </c>
      <c r="AV165" s="33">
        <f>AW165+AX165</f>
        <v>0</v>
      </c>
      <c r="AW165" s="33">
        <f>K165*AO165</f>
        <v>0</v>
      </c>
      <c r="AX165" s="33">
        <f>K165*AP165</f>
        <v>0</v>
      </c>
      <c r="AY165" s="61" t="s">
        <v>994</v>
      </c>
      <c r="AZ165" s="61" t="s">
        <v>1018</v>
      </c>
      <c r="BA165" s="58" t="s">
        <v>1037</v>
      </c>
      <c r="BC165" s="33">
        <f>AW165+AX165</f>
        <v>0</v>
      </c>
      <c r="BD165" s="33">
        <f>L165/(100-BE165)*100</f>
        <v>0</v>
      </c>
      <c r="BE165" s="33">
        <v>0</v>
      </c>
      <c r="BF165" s="33">
        <f>165</f>
        <v>165</v>
      </c>
      <c r="BH165" s="53">
        <f>K165*AO165</f>
        <v>0</v>
      </c>
      <c r="BI165" s="53">
        <f>K165*AP165</f>
        <v>0</v>
      </c>
      <c r="BJ165" s="53">
        <f>K165*L165</f>
        <v>0</v>
      </c>
      <c r="BK165" s="53" t="s">
        <v>1046</v>
      </c>
      <c r="BL165" s="33">
        <v>17</v>
      </c>
    </row>
    <row r="166" spans="1:14" ht="12.75">
      <c r="A166" s="17"/>
      <c r="D166" s="143" t="s">
        <v>584</v>
      </c>
      <c r="E166" s="144"/>
      <c r="F166" s="144"/>
      <c r="G166" s="144"/>
      <c r="H166" s="144"/>
      <c r="I166" s="144"/>
      <c r="K166" s="75">
        <v>0</v>
      </c>
      <c r="M166" s="14"/>
      <c r="N166" s="17"/>
    </row>
    <row r="167" spans="1:14" ht="12.75">
      <c r="A167" s="17"/>
      <c r="D167" s="143" t="s">
        <v>585</v>
      </c>
      <c r="E167" s="144"/>
      <c r="F167" s="144"/>
      <c r="G167" s="144"/>
      <c r="H167" s="144"/>
      <c r="I167" s="144"/>
      <c r="K167" s="75">
        <v>0.27</v>
      </c>
      <c r="M167" s="14"/>
      <c r="N167" s="17"/>
    </row>
    <row r="168" spans="1:14" ht="12.75">
      <c r="A168" s="17"/>
      <c r="D168" s="143" t="s">
        <v>586</v>
      </c>
      <c r="E168" s="144"/>
      <c r="F168" s="144"/>
      <c r="G168" s="144"/>
      <c r="H168" s="144"/>
      <c r="I168" s="144"/>
      <c r="K168" s="75">
        <v>2.46</v>
      </c>
      <c r="M168" s="14"/>
      <c r="N168" s="17"/>
    </row>
    <row r="169" spans="1:14" ht="12.75">
      <c r="A169" s="17"/>
      <c r="D169" s="143" t="s">
        <v>587</v>
      </c>
      <c r="E169" s="144"/>
      <c r="F169" s="144"/>
      <c r="G169" s="144"/>
      <c r="H169" s="144"/>
      <c r="I169" s="144"/>
      <c r="K169" s="75">
        <v>0.38</v>
      </c>
      <c r="M169" s="14"/>
      <c r="N169" s="17"/>
    </row>
    <row r="170" spans="1:14" ht="12.75">
      <c r="A170" s="17"/>
      <c r="D170" s="143" t="s">
        <v>588</v>
      </c>
      <c r="E170" s="144"/>
      <c r="F170" s="144"/>
      <c r="G170" s="144"/>
      <c r="H170" s="144"/>
      <c r="I170" s="144"/>
      <c r="K170" s="75">
        <v>8.01</v>
      </c>
      <c r="M170" s="14"/>
      <c r="N170" s="17"/>
    </row>
    <row r="171" spans="1:64" ht="12.75">
      <c r="A171" s="39" t="s">
        <v>101</v>
      </c>
      <c r="B171" s="46" t="s">
        <v>61</v>
      </c>
      <c r="C171" s="46" t="s">
        <v>286</v>
      </c>
      <c r="D171" s="148" t="s">
        <v>589</v>
      </c>
      <c r="E171" s="149"/>
      <c r="F171" s="149"/>
      <c r="G171" s="149"/>
      <c r="H171" s="149"/>
      <c r="I171" s="149"/>
      <c r="J171" s="46" t="s">
        <v>974</v>
      </c>
      <c r="K171" s="78">
        <f>'Stavební rozpočet'!K171</f>
        <v>197.516</v>
      </c>
      <c r="L171" s="54">
        <f>'Stavební rozpočet'!L171</f>
        <v>0</v>
      </c>
      <c r="M171" s="66">
        <f>K171*L171</f>
        <v>0</v>
      </c>
      <c r="N171" s="17"/>
      <c r="Z171" s="33">
        <f>IF(AQ171="5",BJ171,0)</f>
        <v>0</v>
      </c>
      <c r="AB171" s="33">
        <f>IF(AQ171="1",BH171,0)</f>
        <v>0</v>
      </c>
      <c r="AC171" s="33">
        <f>IF(AQ171="1",BI171,0)</f>
        <v>0</v>
      </c>
      <c r="AD171" s="33">
        <f>IF(AQ171="7",BH171,0)</f>
        <v>0</v>
      </c>
      <c r="AE171" s="33">
        <f>IF(AQ171="7",BI171,0)</f>
        <v>0</v>
      </c>
      <c r="AF171" s="33">
        <f>IF(AQ171="2",BH171,0)</f>
        <v>0</v>
      </c>
      <c r="AG171" s="33">
        <f>IF(AQ171="2",BI171,0)</f>
        <v>0</v>
      </c>
      <c r="AH171" s="33">
        <f>IF(AQ171="0",BJ171,0)</f>
        <v>0</v>
      </c>
      <c r="AI171" s="58" t="s">
        <v>61</v>
      </c>
      <c r="AJ171" s="54">
        <f>IF(AN171=0,M171,0)</f>
        <v>0</v>
      </c>
      <c r="AK171" s="54">
        <f>IF(AN171=15,M171,0)</f>
        <v>0</v>
      </c>
      <c r="AL171" s="54">
        <f>IF(AN171=21,M171,0)</f>
        <v>0</v>
      </c>
      <c r="AN171" s="33">
        <v>21</v>
      </c>
      <c r="AO171" s="33">
        <f>L171*1</f>
        <v>0</v>
      </c>
      <c r="AP171" s="33">
        <f>L171*(1-1)</f>
        <v>0</v>
      </c>
      <c r="AQ171" s="60" t="s">
        <v>80</v>
      </c>
      <c r="AV171" s="33">
        <f>AW171+AX171</f>
        <v>0</v>
      </c>
      <c r="AW171" s="33">
        <f>K171*AO171</f>
        <v>0</v>
      </c>
      <c r="AX171" s="33">
        <f>K171*AP171</f>
        <v>0</v>
      </c>
      <c r="AY171" s="61" t="s">
        <v>994</v>
      </c>
      <c r="AZ171" s="61" t="s">
        <v>1018</v>
      </c>
      <c r="BA171" s="58" t="s">
        <v>1037</v>
      </c>
      <c r="BC171" s="33">
        <f>AW171+AX171</f>
        <v>0</v>
      </c>
      <c r="BD171" s="33">
        <f>L171/(100-BE171)*100</f>
        <v>0</v>
      </c>
      <c r="BE171" s="33">
        <v>0</v>
      </c>
      <c r="BF171" s="33">
        <f>171</f>
        <v>171</v>
      </c>
      <c r="BH171" s="54">
        <f>K171*AO171</f>
        <v>0</v>
      </c>
      <c r="BI171" s="54">
        <f>K171*AP171</f>
        <v>0</v>
      </c>
      <c r="BJ171" s="54">
        <f>K171*L171</f>
        <v>0</v>
      </c>
      <c r="BK171" s="54" t="s">
        <v>1047</v>
      </c>
      <c r="BL171" s="33">
        <v>17</v>
      </c>
    </row>
    <row r="172" spans="1:14" ht="12.75">
      <c r="A172" s="17"/>
      <c r="D172" s="143" t="s">
        <v>590</v>
      </c>
      <c r="E172" s="144"/>
      <c r="F172" s="144"/>
      <c r="G172" s="144"/>
      <c r="H172" s="144"/>
      <c r="I172" s="144"/>
      <c r="K172" s="75">
        <v>173.32</v>
      </c>
      <c r="M172" s="14"/>
      <c r="N172" s="17"/>
    </row>
    <row r="173" spans="1:14" ht="12.75">
      <c r="A173" s="17"/>
      <c r="D173" s="143" t="s">
        <v>591</v>
      </c>
      <c r="E173" s="144"/>
      <c r="F173" s="144"/>
      <c r="G173" s="144"/>
      <c r="H173" s="144"/>
      <c r="I173" s="144"/>
      <c r="K173" s="75">
        <v>22.24</v>
      </c>
      <c r="M173" s="14"/>
      <c r="N173" s="17"/>
    </row>
    <row r="174" spans="1:14" ht="12.75">
      <c r="A174" s="17"/>
      <c r="D174" s="143" t="s">
        <v>592</v>
      </c>
      <c r="E174" s="144"/>
      <c r="F174" s="144"/>
      <c r="G174" s="144"/>
      <c r="H174" s="144"/>
      <c r="I174" s="144"/>
      <c r="K174" s="75">
        <v>1.956</v>
      </c>
      <c r="M174" s="14"/>
      <c r="N174" s="17"/>
    </row>
    <row r="175" spans="1:47" ht="12.75">
      <c r="A175" s="37"/>
      <c r="B175" s="44" t="s">
        <v>61</v>
      </c>
      <c r="C175" s="44" t="s">
        <v>97</v>
      </c>
      <c r="D175" s="139" t="s">
        <v>593</v>
      </c>
      <c r="E175" s="140"/>
      <c r="F175" s="140"/>
      <c r="G175" s="140"/>
      <c r="H175" s="140"/>
      <c r="I175" s="140"/>
      <c r="J175" s="50" t="s">
        <v>59</v>
      </c>
      <c r="K175" s="50" t="s">
        <v>59</v>
      </c>
      <c r="L175" s="50" t="s">
        <v>59</v>
      </c>
      <c r="M175" s="64">
        <f>SUM(M176:M176)</f>
        <v>0</v>
      </c>
      <c r="N175" s="17"/>
      <c r="AI175" s="58" t="s">
        <v>61</v>
      </c>
      <c r="AS175" s="68">
        <f>SUM(AJ176:AJ176)</f>
        <v>0</v>
      </c>
      <c r="AT175" s="68">
        <f>SUM(AK176:AK176)</f>
        <v>0</v>
      </c>
      <c r="AU175" s="68">
        <f>SUM(AL176:AL176)</f>
        <v>0</v>
      </c>
    </row>
    <row r="176" spans="1:64" ht="12.75">
      <c r="A176" s="38" t="s">
        <v>102</v>
      </c>
      <c r="B176" s="45" t="s">
        <v>61</v>
      </c>
      <c r="C176" s="45" t="s">
        <v>287</v>
      </c>
      <c r="D176" s="141" t="s">
        <v>594</v>
      </c>
      <c r="E176" s="142"/>
      <c r="F176" s="142"/>
      <c r="G176" s="142"/>
      <c r="H176" s="142"/>
      <c r="I176" s="142"/>
      <c r="J176" s="45" t="s">
        <v>972</v>
      </c>
      <c r="K176" s="74">
        <f>'Stavební rozpočet'!K176</f>
        <v>12.8</v>
      </c>
      <c r="L176" s="53">
        <f>'Stavební rozpočet'!L176</f>
        <v>0</v>
      </c>
      <c r="M176" s="65">
        <f>K176*L176</f>
        <v>0</v>
      </c>
      <c r="N176" s="17"/>
      <c r="Z176" s="33">
        <f>IF(AQ176="5",BJ176,0)</f>
        <v>0</v>
      </c>
      <c r="AB176" s="33">
        <f>IF(AQ176="1",BH176,0)</f>
        <v>0</v>
      </c>
      <c r="AC176" s="33">
        <f>IF(AQ176="1",BI176,0)</f>
        <v>0</v>
      </c>
      <c r="AD176" s="33">
        <f>IF(AQ176="7",BH176,0)</f>
        <v>0</v>
      </c>
      <c r="AE176" s="33">
        <f>IF(AQ176="7",BI176,0)</f>
        <v>0</v>
      </c>
      <c r="AF176" s="33">
        <f>IF(AQ176="2",BH176,0)</f>
        <v>0</v>
      </c>
      <c r="AG176" s="33">
        <f>IF(AQ176="2",BI176,0)</f>
        <v>0</v>
      </c>
      <c r="AH176" s="33">
        <f>IF(AQ176="0",BJ176,0)</f>
        <v>0</v>
      </c>
      <c r="AI176" s="58" t="s">
        <v>61</v>
      </c>
      <c r="AJ176" s="53">
        <f>IF(AN176=0,M176,0)</f>
        <v>0</v>
      </c>
      <c r="AK176" s="53">
        <f>IF(AN176=15,M176,0)</f>
        <v>0</v>
      </c>
      <c r="AL176" s="53">
        <f>IF(AN176=21,M176,0)</f>
        <v>0</v>
      </c>
      <c r="AN176" s="33">
        <v>21</v>
      </c>
      <c r="AO176" s="33">
        <f>L176*0</f>
        <v>0</v>
      </c>
      <c r="AP176" s="33">
        <f>L176*(1-0)</f>
        <v>0</v>
      </c>
      <c r="AQ176" s="59" t="s">
        <v>80</v>
      </c>
      <c r="AV176" s="33">
        <f>AW176+AX176</f>
        <v>0</v>
      </c>
      <c r="AW176" s="33">
        <f>K176*AO176</f>
        <v>0</v>
      </c>
      <c r="AX176" s="33">
        <f>K176*AP176</f>
        <v>0</v>
      </c>
      <c r="AY176" s="61" t="s">
        <v>995</v>
      </c>
      <c r="AZ176" s="61" t="s">
        <v>1018</v>
      </c>
      <c r="BA176" s="58" t="s">
        <v>1037</v>
      </c>
      <c r="BC176" s="33">
        <f>AW176+AX176</f>
        <v>0</v>
      </c>
      <c r="BD176" s="33">
        <f>L176/(100-BE176)*100</f>
        <v>0</v>
      </c>
      <c r="BE176" s="33">
        <v>0</v>
      </c>
      <c r="BF176" s="33">
        <f>176</f>
        <v>176</v>
      </c>
      <c r="BH176" s="53">
        <f>K176*AO176</f>
        <v>0</v>
      </c>
      <c r="BI176" s="53">
        <f>K176*AP176</f>
        <v>0</v>
      </c>
      <c r="BJ176" s="53">
        <f>K176*L176</f>
        <v>0</v>
      </c>
      <c r="BK176" s="53" t="s">
        <v>1046</v>
      </c>
      <c r="BL176" s="33">
        <v>18</v>
      </c>
    </row>
    <row r="177" spans="1:14" ht="12.75">
      <c r="A177" s="17"/>
      <c r="D177" s="143" t="s">
        <v>465</v>
      </c>
      <c r="E177" s="144"/>
      <c r="F177" s="144"/>
      <c r="G177" s="144"/>
      <c r="H177" s="144"/>
      <c r="I177" s="144"/>
      <c r="K177" s="75">
        <v>12.8</v>
      </c>
      <c r="M177" s="14"/>
      <c r="N177" s="17"/>
    </row>
    <row r="178" spans="1:47" ht="12.75">
      <c r="A178" s="37"/>
      <c r="B178" s="44" t="s">
        <v>61</v>
      </c>
      <c r="C178" s="44" t="s">
        <v>98</v>
      </c>
      <c r="D178" s="139" t="s">
        <v>595</v>
      </c>
      <c r="E178" s="140"/>
      <c r="F178" s="140"/>
      <c r="G178" s="140"/>
      <c r="H178" s="140"/>
      <c r="I178" s="140"/>
      <c r="J178" s="50" t="s">
        <v>59</v>
      </c>
      <c r="K178" s="50" t="s">
        <v>59</v>
      </c>
      <c r="L178" s="50" t="s">
        <v>59</v>
      </c>
      <c r="M178" s="64">
        <f>SUM(M179:M179)</f>
        <v>0</v>
      </c>
      <c r="N178" s="17"/>
      <c r="AI178" s="58" t="s">
        <v>61</v>
      </c>
      <c r="AS178" s="68">
        <f>SUM(AJ179:AJ179)</f>
        <v>0</v>
      </c>
      <c r="AT178" s="68">
        <f>SUM(AK179:AK179)</f>
        <v>0</v>
      </c>
      <c r="AU178" s="68">
        <f>SUM(AL179:AL179)</f>
        <v>0</v>
      </c>
    </row>
    <row r="179" spans="1:64" ht="12.75">
      <c r="A179" s="38" t="s">
        <v>103</v>
      </c>
      <c r="B179" s="45" t="s">
        <v>61</v>
      </c>
      <c r="C179" s="45" t="s">
        <v>288</v>
      </c>
      <c r="D179" s="141" t="s">
        <v>596</v>
      </c>
      <c r="E179" s="142"/>
      <c r="F179" s="142"/>
      <c r="G179" s="142"/>
      <c r="H179" s="142"/>
      <c r="I179" s="142"/>
      <c r="J179" s="45" t="s">
        <v>973</v>
      </c>
      <c r="K179" s="74">
        <f>'Stavební rozpočet'!K179</f>
        <v>212.33</v>
      </c>
      <c r="L179" s="53">
        <f>'Stavební rozpočet'!L179</f>
        <v>0</v>
      </c>
      <c r="M179" s="65">
        <f>K179*L179</f>
        <v>0</v>
      </c>
      <c r="N179" s="17"/>
      <c r="Z179" s="33">
        <f>IF(AQ179="5",BJ179,0)</f>
        <v>0</v>
      </c>
      <c r="AB179" s="33">
        <f>IF(AQ179="1",BH179,0)</f>
        <v>0</v>
      </c>
      <c r="AC179" s="33">
        <f>IF(AQ179="1",BI179,0)</f>
        <v>0</v>
      </c>
      <c r="AD179" s="33">
        <f>IF(AQ179="7",BH179,0)</f>
        <v>0</v>
      </c>
      <c r="AE179" s="33">
        <f>IF(AQ179="7",BI179,0)</f>
        <v>0</v>
      </c>
      <c r="AF179" s="33">
        <f>IF(AQ179="2",BH179,0)</f>
        <v>0</v>
      </c>
      <c r="AG179" s="33">
        <f>IF(AQ179="2",BI179,0)</f>
        <v>0</v>
      </c>
      <c r="AH179" s="33">
        <f>IF(AQ179="0",BJ179,0)</f>
        <v>0</v>
      </c>
      <c r="AI179" s="58" t="s">
        <v>61</v>
      </c>
      <c r="AJ179" s="53">
        <f>IF(AN179=0,M179,0)</f>
        <v>0</v>
      </c>
      <c r="AK179" s="53">
        <f>IF(AN179=15,M179,0)</f>
        <v>0</v>
      </c>
      <c r="AL179" s="53">
        <f>IF(AN179=21,M179,0)</f>
        <v>0</v>
      </c>
      <c r="AN179" s="33">
        <v>21</v>
      </c>
      <c r="AO179" s="33">
        <f>L179*0</f>
        <v>0</v>
      </c>
      <c r="AP179" s="33">
        <f>L179*(1-0)</f>
        <v>0</v>
      </c>
      <c r="AQ179" s="59" t="s">
        <v>80</v>
      </c>
      <c r="AV179" s="33">
        <f>AW179+AX179</f>
        <v>0</v>
      </c>
      <c r="AW179" s="33">
        <f>K179*AO179</f>
        <v>0</v>
      </c>
      <c r="AX179" s="33">
        <f>K179*AP179</f>
        <v>0</v>
      </c>
      <c r="AY179" s="61" t="s">
        <v>996</v>
      </c>
      <c r="AZ179" s="61" t="s">
        <v>1018</v>
      </c>
      <c r="BA179" s="58" t="s">
        <v>1037</v>
      </c>
      <c r="BC179" s="33">
        <f>AW179+AX179</f>
        <v>0</v>
      </c>
      <c r="BD179" s="33">
        <f>L179/(100-BE179)*100</f>
        <v>0</v>
      </c>
      <c r="BE179" s="33">
        <v>0</v>
      </c>
      <c r="BF179" s="33">
        <f>179</f>
        <v>179</v>
      </c>
      <c r="BH179" s="53">
        <f>K179*AO179</f>
        <v>0</v>
      </c>
      <c r="BI179" s="53">
        <f>K179*AP179</f>
        <v>0</v>
      </c>
      <c r="BJ179" s="53">
        <f>K179*L179</f>
        <v>0</v>
      </c>
      <c r="BK179" s="53" t="s">
        <v>1046</v>
      </c>
      <c r="BL179" s="33">
        <v>19</v>
      </c>
    </row>
    <row r="180" spans="1:14" ht="12.75">
      <c r="A180" s="17"/>
      <c r="D180" s="143" t="s">
        <v>535</v>
      </c>
      <c r="E180" s="144"/>
      <c r="F180" s="144"/>
      <c r="G180" s="144"/>
      <c r="H180" s="144"/>
      <c r="I180" s="144"/>
      <c r="K180" s="75">
        <v>212.33</v>
      </c>
      <c r="M180" s="14"/>
      <c r="N180" s="17"/>
    </row>
    <row r="181" spans="1:47" ht="12.75">
      <c r="A181" s="37"/>
      <c r="B181" s="44" t="s">
        <v>61</v>
      </c>
      <c r="C181" s="44" t="s">
        <v>106</v>
      </c>
      <c r="D181" s="139" t="s">
        <v>597</v>
      </c>
      <c r="E181" s="140"/>
      <c r="F181" s="140"/>
      <c r="G181" s="140"/>
      <c r="H181" s="140"/>
      <c r="I181" s="140"/>
      <c r="J181" s="50" t="s">
        <v>59</v>
      </c>
      <c r="K181" s="50" t="s">
        <v>59</v>
      </c>
      <c r="L181" s="50" t="s">
        <v>59</v>
      </c>
      <c r="M181" s="64">
        <f>SUM(M182:M188)</f>
        <v>0</v>
      </c>
      <c r="N181" s="17"/>
      <c r="AI181" s="58" t="s">
        <v>61</v>
      </c>
      <c r="AS181" s="68">
        <f>SUM(AJ182:AJ188)</f>
        <v>0</v>
      </c>
      <c r="AT181" s="68">
        <f>SUM(AK182:AK188)</f>
        <v>0</v>
      </c>
      <c r="AU181" s="68">
        <f>SUM(AL182:AL188)</f>
        <v>0</v>
      </c>
    </row>
    <row r="182" spans="1:64" ht="12.75">
      <c r="A182" s="38" t="s">
        <v>104</v>
      </c>
      <c r="B182" s="45" t="s">
        <v>61</v>
      </c>
      <c r="C182" s="45" t="s">
        <v>289</v>
      </c>
      <c r="D182" s="141" t="s">
        <v>598</v>
      </c>
      <c r="E182" s="142"/>
      <c r="F182" s="142"/>
      <c r="G182" s="142"/>
      <c r="H182" s="142"/>
      <c r="I182" s="142"/>
      <c r="J182" s="45" t="s">
        <v>973</v>
      </c>
      <c r="K182" s="74">
        <f>'Stavební rozpočet'!K182</f>
        <v>2.16</v>
      </c>
      <c r="L182" s="53">
        <f>'Stavební rozpočet'!L182</f>
        <v>0</v>
      </c>
      <c r="M182" s="65">
        <f>K182*L182</f>
        <v>0</v>
      </c>
      <c r="N182" s="17"/>
      <c r="Z182" s="33">
        <f>IF(AQ182="5",BJ182,0)</f>
        <v>0</v>
      </c>
      <c r="AB182" s="33">
        <f>IF(AQ182="1",BH182,0)</f>
        <v>0</v>
      </c>
      <c r="AC182" s="33">
        <f>IF(AQ182="1",BI182,0)</f>
        <v>0</v>
      </c>
      <c r="AD182" s="33">
        <f>IF(AQ182="7",BH182,0)</f>
        <v>0</v>
      </c>
      <c r="AE182" s="33">
        <f>IF(AQ182="7",BI182,0)</f>
        <v>0</v>
      </c>
      <c r="AF182" s="33">
        <f>IF(AQ182="2",BH182,0)</f>
        <v>0</v>
      </c>
      <c r="AG182" s="33">
        <f>IF(AQ182="2",BI182,0)</f>
        <v>0</v>
      </c>
      <c r="AH182" s="33">
        <f>IF(AQ182="0",BJ182,0)</f>
        <v>0</v>
      </c>
      <c r="AI182" s="58" t="s">
        <v>61</v>
      </c>
      <c r="AJ182" s="53">
        <f>IF(AN182=0,M182,0)</f>
        <v>0</v>
      </c>
      <c r="AK182" s="53">
        <f>IF(AN182=15,M182,0)</f>
        <v>0</v>
      </c>
      <c r="AL182" s="53">
        <f>IF(AN182=21,M182,0)</f>
        <v>0</v>
      </c>
      <c r="AN182" s="33">
        <v>21</v>
      </c>
      <c r="AO182" s="33">
        <f>L182*0.641151518979347</f>
        <v>0</v>
      </c>
      <c r="AP182" s="33">
        <f>L182*(1-0.641151518979347)</f>
        <v>0</v>
      </c>
      <c r="AQ182" s="59" t="s">
        <v>80</v>
      </c>
      <c r="AV182" s="33">
        <f>AW182+AX182</f>
        <v>0</v>
      </c>
      <c r="AW182" s="33">
        <f>K182*AO182</f>
        <v>0</v>
      </c>
      <c r="AX182" s="33">
        <f>K182*AP182</f>
        <v>0</v>
      </c>
      <c r="AY182" s="61" t="s">
        <v>997</v>
      </c>
      <c r="AZ182" s="61" t="s">
        <v>1019</v>
      </c>
      <c r="BA182" s="58" t="s">
        <v>1037</v>
      </c>
      <c r="BC182" s="33">
        <f>AW182+AX182</f>
        <v>0</v>
      </c>
      <c r="BD182" s="33">
        <f>L182/(100-BE182)*100</f>
        <v>0</v>
      </c>
      <c r="BE182" s="33">
        <v>0</v>
      </c>
      <c r="BF182" s="33">
        <f>182</f>
        <v>182</v>
      </c>
      <c r="BH182" s="53">
        <f>K182*AO182</f>
        <v>0</v>
      </c>
      <c r="BI182" s="53">
        <f>K182*AP182</f>
        <v>0</v>
      </c>
      <c r="BJ182" s="53">
        <f>K182*L182</f>
        <v>0</v>
      </c>
      <c r="BK182" s="53" t="s">
        <v>1046</v>
      </c>
      <c r="BL182" s="33">
        <v>27</v>
      </c>
    </row>
    <row r="183" spans="1:14" ht="12.75">
      <c r="A183" s="17"/>
      <c r="D183" s="143" t="s">
        <v>599</v>
      </c>
      <c r="E183" s="144"/>
      <c r="F183" s="144"/>
      <c r="G183" s="144"/>
      <c r="H183" s="144"/>
      <c r="I183" s="144"/>
      <c r="K183" s="75">
        <v>0</v>
      </c>
      <c r="M183" s="14"/>
      <c r="N183" s="17"/>
    </row>
    <row r="184" spans="1:14" ht="12.75">
      <c r="A184" s="17"/>
      <c r="D184" s="143" t="s">
        <v>600</v>
      </c>
      <c r="E184" s="144"/>
      <c r="F184" s="144"/>
      <c r="G184" s="144"/>
      <c r="H184" s="144"/>
      <c r="I184" s="144"/>
      <c r="K184" s="75">
        <v>0.05</v>
      </c>
      <c r="M184" s="14"/>
      <c r="N184" s="17"/>
    </row>
    <row r="185" spans="1:14" ht="12.75">
      <c r="A185" s="17"/>
      <c r="D185" s="143" t="s">
        <v>601</v>
      </c>
      <c r="E185" s="144"/>
      <c r="F185" s="144"/>
      <c r="G185" s="144"/>
      <c r="H185" s="144"/>
      <c r="I185" s="144"/>
      <c r="K185" s="75">
        <v>0.99</v>
      </c>
      <c r="M185" s="14"/>
      <c r="N185" s="17"/>
    </row>
    <row r="186" spans="1:14" ht="12.75">
      <c r="A186" s="17"/>
      <c r="D186" s="143" t="s">
        <v>602</v>
      </c>
      <c r="E186" s="144"/>
      <c r="F186" s="144"/>
      <c r="G186" s="144"/>
      <c r="H186" s="144"/>
      <c r="I186" s="144"/>
      <c r="K186" s="75">
        <v>0.13</v>
      </c>
      <c r="M186" s="14"/>
      <c r="N186" s="17"/>
    </row>
    <row r="187" spans="1:14" ht="12.75">
      <c r="A187" s="17"/>
      <c r="D187" s="143" t="s">
        <v>603</v>
      </c>
      <c r="E187" s="144"/>
      <c r="F187" s="144"/>
      <c r="G187" s="144"/>
      <c r="H187" s="144"/>
      <c r="I187" s="144"/>
      <c r="K187" s="75">
        <v>0.99</v>
      </c>
      <c r="M187" s="14"/>
      <c r="N187" s="17"/>
    </row>
    <row r="188" spans="1:64" ht="12.75">
      <c r="A188" s="38" t="s">
        <v>105</v>
      </c>
      <c r="B188" s="45" t="s">
        <v>61</v>
      </c>
      <c r="C188" s="45" t="s">
        <v>290</v>
      </c>
      <c r="D188" s="141" t="s">
        <v>604</v>
      </c>
      <c r="E188" s="142"/>
      <c r="F188" s="142"/>
      <c r="G188" s="142"/>
      <c r="H188" s="142"/>
      <c r="I188" s="142"/>
      <c r="J188" s="45" t="s">
        <v>972</v>
      </c>
      <c r="K188" s="74">
        <f>'Stavební rozpočet'!K188</f>
        <v>18.61</v>
      </c>
      <c r="L188" s="53">
        <f>'Stavební rozpočet'!L188</f>
        <v>0</v>
      </c>
      <c r="M188" s="65">
        <f>K188*L188</f>
        <v>0</v>
      </c>
      <c r="N188" s="17"/>
      <c r="Z188" s="33">
        <f>IF(AQ188="5",BJ188,0)</f>
        <v>0</v>
      </c>
      <c r="AB188" s="33">
        <f>IF(AQ188="1",BH188,0)</f>
        <v>0</v>
      </c>
      <c r="AC188" s="33">
        <f>IF(AQ188="1",BI188,0)</f>
        <v>0</v>
      </c>
      <c r="AD188" s="33">
        <f>IF(AQ188="7",BH188,0)</f>
        <v>0</v>
      </c>
      <c r="AE188" s="33">
        <f>IF(AQ188="7",BI188,0)</f>
        <v>0</v>
      </c>
      <c r="AF188" s="33">
        <f>IF(AQ188="2",BH188,0)</f>
        <v>0</v>
      </c>
      <c r="AG188" s="33">
        <f>IF(AQ188="2",BI188,0)</f>
        <v>0</v>
      </c>
      <c r="AH188" s="33">
        <f>IF(AQ188="0",BJ188,0)</f>
        <v>0</v>
      </c>
      <c r="AI188" s="58" t="s">
        <v>61</v>
      </c>
      <c r="AJ188" s="53">
        <f>IF(AN188=0,M188,0)</f>
        <v>0</v>
      </c>
      <c r="AK188" s="53">
        <f>IF(AN188=15,M188,0)</f>
        <v>0</v>
      </c>
      <c r="AL188" s="53">
        <f>IF(AN188=21,M188,0)</f>
        <v>0</v>
      </c>
      <c r="AN188" s="33">
        <v>21</v>
      </c>
      <c r="AO188" s="33">
        <f>L188*0</f>
        <v>0</v>
      </c>
      <c r="AP188" s="33">
        <f>L188*(1-0)</f>
        <v>0</v>
      </c>
      <c r="AQ188" s="59" t="s">
        <v>80</v>
      </c>
      <c r="AV188" s="33">
        <f>AW188+AX188</f>
        <v>0</v>
      </c>
      <c r="AW188" s="33">
        <f>K188*AO188</f>
        <v>0</v>
      </c>
      <c r="AX188" s="33">
        <f>K188*AP188</f>
        <v>0</v>
      </c>
      <c r="AY188" s="61" t="s">
        <v>997</v>
      </c>
      <c r="AZ188" s="61" t="s">
        <v>1019</v>
      </c>
      <c r="BA188" s="58" t="s">
        <v>1037</v>
      </c>
      <c r="BC188" s="33">
        <f>AW188+AX188</f>
        <v>0</v>
      </c>
      <c r="BD188" s="33">
        <f>L188/(100-BE188)*100</f>
        <v>0</v>
      </c>
      <c r="BE188" s="33">
        <v>0</v>
      </c>
      <c r="BF188" s="33">
        <f>188</f>
        <v>188</v>
      </c>
      <c r="BH188" s="53">
        <f>K188*AO188</f>
        <v>0</v>
      </c>
      <c r="BI188" s="53">
        <f>K188*AP188</f>
        <v>0</v>
      </c>
      <c r="BJ188" s="53">
        <f>K188*L188</f>
        <v>0</v>
      </c>
      <c r="BK188" s="53" t="s">
        <v>1046</v>
      </c>
      <c r="BL188" s="33">
        <v>27</v>
      </c>
    </row>
    <row r="189" spans="1:14" ht="12.75">
      <c r="A189" s="17"/>
      <c r="D189" s="143" t="s">
        <v>599</v>
      </c>
      <c r="E189" s="144"/>
      <c r="F189" s="144"/>
      <c r="G189" s="144"/>
      <c r="H189" s="144"/>
      <c r="I189" s="144"/>
      <c r="K189" s="75">
        <v>0</v>
      </c>
      <c r="M189" s="14"/>
      <c r="N189" s="17"/>
    </row>
    <row r="190" spans="1:14" ht="12.75">
      <c r="A190" s="17"/>
      <c r="D190" s="143" t="s">
        <v>605</v>
      </c>
      <c r="E190" s="144"/>
      <c r="F190" s="144"/>
      <c r="G190" s="144"/>
      <c r="H190" s="144"/>
      <c r="I190" s="144"/>
      <c r="K190" s="75">
        <v>0.75</v>
      </c>
      <c r="M190" s="14"/>
      <c r="N190" s="17"/>
    </row>
    <row r="191" spans="1:14" ht="12.75">
      <c r="A191" s="17"/>
      <c r="D191" s="143" t="s">
        <v>606</v>
      </c>
      <c r="E191" s="144"/>
      <c r="F191" s="144"/>
      <c r="G191" s="144"/>
      <c r="H191" s="144"/>
      <c r="I191" s="144"/>
      <c r="K191" s="75">
        <v>9.9</v>
      </c>
      <c r="M191" s="14"/>
      <c r="N191" s="17"/>
    </row>
    <row r="192" spans="1:14" ht="12.75">
      <c r="A192" s="17"/>
      <c r="D192" s="143" t="s">
        <v>607</v>
      </c>
      <c r="E192" s="144"/>
      <c r="F192" s="144"/>
      <c r="G192" s="144"/>
      <c r="H192" s="144"/>
      <c r="I192" s="144"/>
      <c r="K192" s="75">
        <v>1.34</v>
      </c>
      <c r="M192" s="14"/>
      <c r="N192" s="17"/>
    </row>
    <row r="193" spans="1:14" ht="12.75">
      <c r="A193" s="17"/>
      <c r="D193" s="143" t="s">
        <v>608</v>
      </c>
      <c r="E193" s="144"/>
      <c r="F193" s="144"/>
      <c r="G193" s="144"/>
      <c r="H193" s="144"/>
      <c r="I193" s="144"/>
      <c r="K193" s="75">
        <v>6.62</v>
      </c>
      <c r="M193" s="14"/>
      <c r="N193" s="17"/>
    </row>
    <row r="194" spans="1:47" ht="12.75">
      <c r="A194" s="37"/>
      <c r="B194" s="44" t="s">
        <v>61</v>
      </c>
      <c r="C194" s="44" t="s">
        <v>114</v>
      </c>
      <c r="D194" s="139" t="s">
        <v>609</v>
      </c>
      <c r="E194" s="140"/>
      <c r="F194" s="140"/>
      <c r="G194" s="140"/>
      <c r="H194" s="140"/>
      <c r="I194" s="140"/>
      <c r="J194" s="50" t="s">
        <v>59</v>
      </c>
      <c r="K194" s="50" t="s">
        <v>59</v>
      </c>
      <c r="L194" s="50" t="s">
        <v>59</v>
      </c>
      <c r="M194" s="64">
        <f>SUM(M195:M195)</f>
        <v>0</v>
      </c>
      <c r="N194" s="17"/>
      <c r="AI194" s="58" t="s">
        <v>61</v>
      </c>
      <c r="AS194" s="68">
        <f>SUM(AJ195:AJ195)</f>
        <v>0</v>
      </c>
      <c r="AT194" s="68">
        <f>SUM(AK195:AK195)</f>
        <v>0</v>
      </c>
      <c r="AU194" s="68">
        <f>SUM(AL195:AL195)</f>
        <v>0</v>
      </c>
    </row>
    <row r="195" spans="1:64" ht="12.75">
      <c r="A195" s="38" t="s">
        <v>106</v>
      </c>
      <c r="B195" s="45" t="s">
        <v>61</v>
      </c>
      <c r="C195" s="45" t="s">
        <v>291</v>
      </c>
      <c r="D195" s="141" t="s">
        <v>610</v>
      </c>
      <c r="E195" s="142"/>
      <c r="F195" s="142"/>
      <c r="G195" s="142"/>
      <c r="H195" s="142"/>
      <c r="I195" s="142"/>
      <c r="J195" s="45" t="s">
        <v>968</v>
      </c>
      <c r="K195" s="74">
        <f>'Stavební rozpočet'!K195</f>
        <v>171.56</v>
      </c>
      <c r="L195" s="53">
        <f>'Stavební rozpočet'!L195</f>
        <v>0</v>
      </c>
      <c r="M195" s="65">
        <f>K195*L195</f>
        <v>0</v>
      </c>
      <c r="N195" s="17"/>
      <c r="Z195" s="33">
        <f>IF(AQ195="5",BJ195,0)</f>
        <v>0</v>
      </c>
      <c r="AB195" s="33">
        <f>IF(AQ195="1",BH195,0)</f>
        <v>0</v>
      </c>
      <c r="AC195" s="33">
        <f>IF(AQ195="1",BI195,0)</f>
        <v>0</v>
      </c>
      <c r="AD195" s="33">
        <f>IF(AQ195="7",BH195,0)</f>
        <v>0</v>
      </c>
      <c r="AE195" s="33">
        <f>IF(AQ195="7",BI195,0)</f>
        <v>0</v>
      </c>
      <c r="AF195" s="33">
        <f>IF(AQ195="2",BH195,0)</f>
        <v>0</v>
      </c>
      <c r="AG195" s="33">
        <f>IF(AQ195="2",BI195,0)</f>
        <v>0</v>
      </c>
      <c r="AH195" s="33">
        <f>IF(AQ195="0",BJ195,0)</f>
        <v>0</v>
      </c>
      <c r="AI195" s="58" t="s">
        <v>61</v>
      </c>
      <c r="AJ195" s="53">
        <f>IF(AN195=0,M195,0)</f>
        <v>0</v>
      </c>
      <c r="AK195" s="53">
        <f>IF(AN195=15,M195,0)</f>
        <v>0</v>
      </c>
      <c r="AL195" s="53">
        <f>IF(AN195=21,M195,0)</f>
        <v>0</v>
      </c>
      <c r="AN195" s="33">
        <v>21</v>
      </c>
      <c r="AO195" s="33">
        <f>L195*0</f>
        <v>0</v>
      </c>
      <c r="AP195" s="33">
        <f>L195*(1-0)</f>
        <v>0</v>
      </c>
      <c r="AQ195" s="59" t="s">
        <v>80</v>
      </c>
      <c r="AV195" s="33">
        <f>AW195+AX195</f>
        <v>0</v>
      </c>
      <c r="AW195" s="33">
        <f>K195*AO195</f>
        <v>0</v>
      </c>
      <c r="AX195" s="33">
        <f>K195*AP195</f>
        <v>0</v>
      </c>
      <c r="AY195" s="61" t="s">
        <v>998</v>
      </c>
      <c r="AZ195" s="61" t="s">
        <v>1020</v>
      </c>
      <c r="BA195" s="58" t="s">
        <v>1037</v>
      </c>
      <c r="BC195" s="33">
        <f>AW195+AX195</f>
        <v>0</v>
      </c>
      <c r="BD195" s="33">
        <f>L195/(100-BE195)*100</f>
        <v>0</v>
      </c>
      <c r="BE195" s="33">
        <v>0</v>
      </c>
      <c r="BF195" s="33">
        <f>195</f>
        <v>195</v>
      </c>
      <c r="BH195" s="53">
        <f>K195*AO195</f>
        <v>0</v>
      </c>
      <c r="BI195" s="53">
        <f>K195*AP195</f>
        <v>0</v>
      </c>
      <c r="BJ195" s="53">
        <f>K195*L195</f>
        <v>0</v>
      </c>
      <c r="BK195" s="53" t="s">
        <v>1046</v>
      </c>
      <c r="BL195" s="33">
        <v>35</v>
      </c>
    </row>
    <row r="196" spans="1:14" ht="12.75">
      <c r="A196" s="17"/>
      <c r="D196" s="143" t="s">
        <v>611</v>
      </c>
      <c r="E196" s="144"/>
      <c r="F196" s="144"/>
      <c r="G196" s="144"/>
      <c r="H196" s="144"/>
      <c r="I196" s="144"/>
      <c r="K196" s="75">
        <v>47.57</v>
      </c>
      <c r="M196" s="14"/>
      <c r="N196" s="17"/>
    </row>
    <row r="197" spans="1:14" ht="12.75">
      <c r="A197" s="17"/>
      <c r="D197" s="143" t="s">
        <v>612</v>
      </c>
      <c r="E197" s="144"/>
      <c r="F197" s="144"/>
      <c r="G197" s="144"/>
      <c r="H197" s="144"/>
      <c r="I197" s="144"/>
      <c r="K197" s="75">
        <v>94.81</v>
      </c>
      <c r="M197" s="14"/>
      <c r="N197" s="17"/>
    </row>
    <row r="198" spans="1:14" ht="12.75">
      <c r="A198" s="17"/>
      <c r="D198" s="143" t="s">
        <v>613</v>
      </c>
      <c r="E198" s="144"/>
      <c r="F198" s="144"/>
      <c r="G198" s="144"/>
      <c r="H198" s="144"/>
      <c r="I198" s="144"/>
      <c r="K198" s="75">
        <v>22.18</v>
      </c>
      <c r="M198" s="14"/>
      <c r="N198" s="17"/>
    </row>
    <row r="199" spans="1:14" ht="12.75">
      <c r="A199" s="17"/>
      <c r="D199" s="143" t="s">
        <v>614</v>
      </c>
      <c r="E199" s="144"/>
      <c r="F199" s="144"/>
      <c r="G199" s="144"/>
      <c r="H199" s="144"/>
      <c r="I199" s="144"/>
      <c r="K199" s="75">
        <v>7</v>
      </c>
      <c r="M199" s="14"/>
      <c r="N199" s="17"/>
    </row>
    <row r="200" spans="1:47" ht="12.75">
      <c r="A200" s="37"/>
      <c r="B200" s="44" t="s">
        <v>61</v>
      </c>
      <c r="C200" s="44" t="s">
        <v>124</v>
      </c>
      <c r="D200" s="139" t="s">
        <v>615</v>
      </c>
      <c r="E200" s="140"/>
      <c r="F200" s="140"/>
      <c r="G200" s="140"/>
      <c r="H200" s="140"/>
      <c r="I200" s="140"/>
      <c r="J200" s="50" t="s">
        <v>59</v>
      </c>
      <c r="K200" s="50" t="s">
        <v>59</v>
      </c>
      <c r="L200" s="50" t="s">
        <v>59</v>
      </c>
      <c r="M200" s="64">
        <f>SUM(M201:M219)</f>
        <v>0</v>
      </c>
      <c r="N200" s="17"/>
      <c r="AI200" s="58" t="s">
        <v>61</v>
      </c>
      <c r="AS200" s="68">
        <f>SUM(AJ201:AJ219)</f>
        <v>0</v>
      </c>
      <c r="AT200" s="68">
        <f>SUM(AK201:AK219)</f>
        <v>0</v>
      </c>
      <c r="AU200" s="68">
        <f>SUM(AL201:AL219)</f>
        <v>0</v>
      </c>
    </row>
    <row r="201" spans="1:64" ht="12.75">
      <c r="A201" s="38" t="s">
        <v>107</v>
      </c>
      <c r="B201" s="45" t="s">
        <v>61</v>
      </c>
      <c r="C201" s="45" t="s">
        <v>292</v>
      </c>
      <c r="D201" s="141" t="s">
        <v>616</v>
      </c>
      <c r="E201" s="142"/>
      <c r="F201" s="142"/>
      <c r="G201" s="142"/>
      <c r="H201" s="142"/>
      <c r="I201" s="142"/>
      <c r="J201" s="45" t="s">
        <v>973</v>
      </c>
      <c r="K201" s="74">
        <f>'Stavební rozpočet'!K201</f>
        <v>18.11</v>
      </c>
      <c r="L201" s="53">
        <f>'Stavební rozpočet'!L201</f>
        <v>0</v>
      </c>
      <c r="M201" s="65">
        <f>K201*L201</f>
        <v>0</v>
      </c>
      <c r="N201" s="17"/>
      <c r="Z201" s="33">
        <f>IF(AQ201="5",BJ201,0)</f>
        <v>0</v>
      </c>
      <c r="AB201" s="33">
        <f>IF(AQ201="1",BH201,0)</f>
        <v>0</v>
      </c>
      <c r="AC201" s="33">
        <f>IF(AQ201="1",BI201,0)</f>
        <v>0</v>
      </c>
      <c r="AD201" s="33">
        <f>IF(AQ201="7",BH201,0)</f>
        <v>0</v>
      </c>
      <c r="AE201" s="33">
        <f>IF(AQ201="7",BI201,0)</f>
        <v>0</v>
      </c>
      <c r="AF201" s="33">
        <f>IF(AQ201="2",BH201,0)</f>
        <v>0</v>
      </c>
      <c r="AG201" s="33">
        <f>IF(AQ201="2",BI201,0)</f>
        <v>0</v>
      </c>
      <c r="AH201" s="33">
        <f>IF(AQ201="0",BJ201,0)</f>
        <v>0</v>
      </c>
      <c r="AI201" s="58" t="s">
        <v>61</v>
      </c>
      <c r="AJ201" s="53">
        <f>IF(AN201=0,M201,0)</f>
        <v>0</v>
      </c>
      <c r="AK201" s="53">
        <f>IF(AN201=15,M201,0)</f>
        <v>0</v>
      </c>
      <c r="AL201" s="53">
        <f>IF(AN201=21,M201,0)</f>
        <v>0</v>
      </c>
      <c r="AN201" s="33">
        <v>21</v>
      </c>
      <c r="AO201" s="33">
        <f>L201*0.625391455118633</f>
        <v>0</v>
      </c>
      <c r="AP201" s="33">
        <f>L201*(1-0.625391455118633)</f>
        <v>0</v>
      </c>
      <c r="AQ201" s="59" t="s">
        <v>80</v>
      </c>
      <c r="AV201" s="33">
        <f>AW201+AX201</f>
        <v>0</v>
      </c>
      <c r="AW201" s="33">
        <f>K201*AO201</f>
        <v>0</v>
      </c>
      <c r="AX201" s="33">
        <f>K201*AP201</f>
        <v>0</v>
      </c>
      <c r="AY201" s="61" t="s">
        <v>999</v>
      </c>
      <c r="AZ201" s="61" t="s">
        <v>1021</v>
      </c>
      <c r="BA201" s="58" t="s">
        <v>1037</v>
      </c>
      <c r="BC201" s="33">
        <f>AW201+AX201</f>
        <v>0</v>
      </c>
      <c r="BD201" s="33">
        <f>L201/(100-BE201)*100</f>
        <v>0</v>
      </c>
      <c r="BE201" s="33">
        <v>0</v>
      </c>
      <c r="BF201" s="33">
        <f>201</f>
        <v>201</v>
      </c>
      <c r="BH201" s="53">
        <f>K201*AO201</f>
        <v>0</v>
      </c>
      <c r="BI201" s="53">
        <f>K201*AP201</f>
        <v>0</v>
      </c>
      <c r="BJ201" s="53">
        <f>K201*L201</f>
        <v>0</v>
      </c>
      <c r="BK201" s="53" t="s">
        <v>1046</v>
      </c>
      <c r="BL201" s="33">
        <v>45</v>
      </c>
    </row>
    <row r="202" spans="1:14" ht="12.75">
      <c r="A202" s="17"/>
      <c r="C202" s="48" t="s">
        <v>269</v>
      </c>
      <c r="D202" s="145" t="s">
        <v>617</v>
      </c>
      <c r="E202" s="146"/>
      <c r="F202" s="146"/>
      <c r="G202" s="146"/>
      <c r="H202" s="146"/>
      <c r="I202" s="146"/>
      <c r="J202" s="146"/>
      <c r="K202" s="146"/>
      <c r="L202" s="146"/>
      <c r="M202" s="147"/>
      <c r="N202" s="17"/>
    </row>
    <row r="203" spans="1:14" ht="12.75">
      <c r="A203" s="17"/>
      <c r="D203" s="143" t="s">
        <v>618</v>
      </c>
      <c r="E203" s="144"/>
      <c r="F203" s="144"/>
      <c r="G203" s="144"/>
      <c r="H203" s="144"/>
      <c r="I203" s="144"/>
      <c r="K203" s="75">
        <v>0</v>
      </c>
      <c r="M203" s="14"/>
      <c r="N203" s="17"/>
    </row>
    <row r="204" spans="1:14" ht="12.75">
      <c r="A204" s="17"/>
      <c r="D204" s="143" t="s">
        <v>619</v>
      </c>
      <c r="E204" s="144"/>
      <c r="F204" s="144"/>
      <c r="G204" s="144"/>
      <c r="H204" s="144"/>
      <c r="I204" s="144"/>
      <c r="K204" s="75">
        <v>4.11</v>
      </c>
      <c r="M204" s="14"/>
      <c r="N204" s="17"/>
    </row>
    <row r="205" spans="1:14" ht="12.75">
      <c r="A205" s="17"/>
      <c r="D205" s="143" t="s">
        <v>620</v>
      </c>
      <c r="E205" s="144"/>
      <c r="F205" s="144"/>
      <c r="G205" s="144"/>
      <c r="H205" s="144"/>
      <c r="I205" s="144"/>
      <c r="K205" s="75">
        <v>1.6</v>
      </c>
      <c r="M205" s="14"/>
      <c r="N205" s="17"/>
    </row>
    <row r="206" spans="1:14" ht="12.75">
      <c r="A206" s="17"/>
      <c r="D206" s="143" t="s">
        <v>621</v>
      </c>
      <c r="E206" s="144"/>
      <c r="F206" s="144"/>
      <c r="G206" s="144"/>
      <c r="H206" s="144"/>
      <c r="I206" s="144"/>
      <c r="K206" s="75">
        <v>1.2</v>
      </c>
      <c r="M206" s="14"/>
      <c r="N206" s="17"/>
    </row>
    <row r="207" spans="1:14" ht="12.75">
      <c r="A207" s="17"/>
      <c r="D207" s="143" t="s">
        <v>622</v>
      </c>
      <c r="E207" s="144"/>
      <c r="F207" s="144"/>
      <c r="G207" s="144"/>
      <c r="H207" s="144"/>
      <c r="I207" s="144"/>
      <c r="K207" s="75">
        <v>0.34</v>
      </c>
      <c r="M207" s="14"/>
      <c r="N207" s="17"/>
    </row>
    <row r="208" spans="1:14" ht="12.75">
      <c r="A208" s="17"/>
      <c r="D208" s="143" t="s">
        <v>623</v>
      </c>
      <c r="E208" s="144"/>
      <c r="F208" s="144"/>
      <c r="G208" s="144"/>
      <c r="H208" s="144"/>
      <c r="I208" s="144"/>
      <c r="K208" s="75">
        <v>0.05</v>
      </c>
      <c r="M208" s="14"/>
      <c r="N208" s="17"/>
    </row>
    <row r="209" spans="1:14" ht="12.75">
      <c r="A209" s="17"/>
      <c r="D209" s="143" t="s">
        <v>624</v>
      </c>
      <c r="E209" s="144"/>
      <c r="F209" s="144"/>
      <c r="G209" s="144"/>
      <c r="H209" s="144"/>
      <c r="I209" s="144"/>
      <c r="K209" s="75">
        <v>3.99</v>
      </c>
      <c r="M209" s="14"/>
      <c r="N209" s="17"/>
    </row>
    <row r="210" spans="1:14" ht="12.75">
      <c r="A210" s="17"/>
      <c r="D210" s="143" t="s">
        <v>625</v>
      </c>
      <c r="E210" s="144"/>
      <c r="F210" s="144"/>
      <c r="G210" s="144"/>
      <c r="H210" s="144"/>
      <c r="I210" s="144"/>
      <c r="K210" s="75">
        <v>0.56</v>
      </c>
      <c r="M210" s="14"/>
      <c r="N210" s="17"/>
    </row>
    <row r="211" spans="1:14" ht="12.75">
      <c r="A211" s="17"/>
      <c r="D211" s="143" t="s">
        <v>626</v>
      </c>
      <c r="E211" s="144"/>
      <c r="F211" s="144"/>
      <c r="G211" s="144"/>
      <c r="H211" s="144"/>
      <c r="I211" s="144"/>
      <c r="K211" s="75">
        <v>0.7</v>
      </c>
      <c r="M211" s="14"/>
      <c r="N211" s="17"/>
    </row>
    <row r="212" spans="1:14" ht="12.75">
      <c r="A212" s="17"/>
      <c r="D212" s="143" t="s">
        <v>627</v>
      </c>
      <c r="E212" s="144"/>
      <c r="F212" s="144"/>
      <c r="G212" s="144"/>
      <c r="H212" s="144"/>
      <c r="I212" s="144"/>
      <c r="K212" s="75">
        <v>0.34</v>
      </c>
      <c r="M212" s="14"/>
      <c r="N212" s="17"/>
    </row>
    <row r="213" spans="1:14" ht="12.75">
      <c r="A213" s="17"/>
      <c r="D213" s="143" t="s">
        <v>628</v>
      </c>
      <c r="E213" s="144"/>
      <c r="F213" s="144"/>
      <c r="G213" s="144"/>
      <c r="H213" s="144"/>
      <c r="I213" s="144"/>
      <c r="K213" s="75">
        <v>0.26</v>
      </c>
      <c r="M213" s="14"/>
      <c r="N213" s="17"/>
    </row>
    <row r="214" spans="1:14" ht="12.75">
      <c r="A214" s="17"/>
      <c r="D214" s="143" t="s">
        <v>629</v>
      </c>
      <c r="E214" s="144"/>
      <c r="F214" s="144"/>
      <c r="G214" s="144"/>
      <c r="H214" s="144"/>
      <c r="I214" s="144"/>
      <c r="K214" s="75">
        <v>0.11</v>
      </c>
      <c r="M214" s="14"/>
      <c r="N214" s="17"/>
    </row>
    <row r="215" spans="1:14" ht="12.75">
      <c r="A215" s="17"/>
      <c r="D215" s="143" t="s">
        <v>630</v>
      </c>
      <c r="E215" s="144"/>
      <c r="F215" s="144"/>
      <c r="G215" s="144"/>
      <c r="H215" s="144"/>
      <c r="I215" s="144"/>
      <c r="K215" s="75">
        <v>4.4</v>
      </c>
      <c r="M215" s="14"/>
      <c r="N215" s="17"/>
    </row>
    <row r="216" spans="1:14" ht="12.75">
      <c r="A216" s="17"/>
      <c r="D216" s="143" t="s">
        <v>631</v>
      </c>
      <c r="E216" s="144"/>
      <c r="F216" s="144"/>
      <c r="G216" s="144"/>
      <c r="H216" s="144"/>
      <c r="I216" s="144"/>
      <c r="K216" s="75">
        <v>0.3</v>
      </c>
      <c r="M216" s="14"/>
      <c r="N216" s="17"/>
    </row>
    <row r="217" spans="1:14" ht="12.75">
      <c r="A217" s="17"/>
      <c r="D217" s="143" t="s">
        <v>632</v>
      </c>
      <c r="E217" s="144"/>
      <c r="F217" s="144"/>
      <c r="G217" s="144"/>
      <c r="H217" s="144"/>
      <c r="I217" s="144"/>
      <c r="K217" s="75">
        <v>0.09</v>
      </c>
      <c r="M217" s="14"/>
      <c r="N217" s="17"/>
    </row>
    <row r="218" spans="1:14" ht="12.75">
      <c r="A218" s="17"/>
      <c r="D218" s="143" t="s">
        <v>633</v>
      </c>
      <c r="E218" s="144"/>
      <c r="F218" s="144"/>
      <c r="G218" s="144"/>
      <c r="H218" s="144"/>
      <c r="I218" s="144"/>
      <c r="K218" s="75">
        <v>0.06</v>
      </c>
      <c r="M218" s="14"/>
      <c r="N218" s="17"/>
    </row>
    <row r="219" spans="1:64" ht="12.75">
      <c r="A219" s="38" t="s">
        <v>108</v>
      </c>
      <c r="B219" s="45" t="s">
        <v>61</v>
      </c>
      <c r="C219" s="45" t="s">
        <v>293</v>
      </c>
      <c r="D219" s="141" t="s">
        <v>634</v>
      </c>
      <c r="E219" s="142"/>
      <c r="F219" s="142"/>
      <c r="G219" s="142"/>
      <c r="H219" s="142"/>
      <c r="I219" s="142"/>
      <c r="J219" s="45" t="s">
        <v>972</v>
      </c>
      <c r="K219" s="74">
        <f>'Stavební rozpočet'!K219</f>
        <v>0.9</v>
      </c>
      <c r="L219" s="53">
        <f>'Stavební rozpočet'!L219</f>
        <v>0</v>
      </c>
      <c r="M219" s="65">
        <f>K219*L219</f>
        <v>0</v>
      </c>
      <c r="N219" s="17"/>
      <c r="Z219" s="33">
        <f>IF(AQ219="5",BJ219,0)</f>
        <v>0</v>
      </c>
      <c r="AB219" s="33">
        <f>IF(AQ219="1",BH219,0)</f>
        <v>0</v>
      </c>
      <c r="AC219" s="33">
        <f>IF(AQ219="1",BI219,0)</f>
        <v>0</v>
      </c>
      <c r="AD219" s="33">
        <f>IF(AQ219="7",BH219,0)</f>
        <v>0</v>
      </c>
      <c r="AE219" s="33">
        <f>IF(AQ219="7",BI219,0)</f>
        <v>0</v>
      </c>
      <c r="AF219" s="33">
        <f>IF(AQ219="2",BH219,0)</f>
        <v>0</v>
      </c>
      <c r="AG219" s="33">
        <f>IF(AQ219="2",BI219,0)</f>
        <v>0</v>
      </c>
      <c r="AH219" s="33">
        <f>IF(AQ219="0",BJ219,0)</f>
        <v>0</v>
      </c>
      <c r="AI219" s="58" t="s">
        <v>61</v>
      </c>
      <c r="AJ219" s="53">
        <f>IF(AN219=0,M219,0)</f>
        <v>0</v>
      </c>
      <c r="AK219" s="53">
        <f>IF(AN219=15,M219,0)</f>
        <v>0</v>
      </c>
      <c r="AL219" s="53">
        <f>IF(AN219=21,M219,0)</f>
        <v>0</v>
      </c>
      <c r="AN219" s="33">
        <v>21</v>
      </c>
      <c r="AO219" s="33">
        <f>L219*0.378381962864722</f>
        <v>0</v>
      </c>
      <c r="AP219" s="33">
        <f>L219*(1-0.378381962864722)</f>
        <v>0</v>
      </c>
      <c r="AQ219" s="59" t="s">
        <v>80</v>
      </c>
      <c r="AV219" s="33">
        <f>AW219+AX219</f>
        <v>0</v>
      </c>
      <c r="AW219" s="33">
        <f>K219*AO219</f>
        <v>0</v>
      </c>
      <c r="AX219" s="33">
        <f>K219*AP219</f>
        <v>0</v>
      </c>
      <c r="AY219" s="61" t="s">
        <v>999</v>
      </c>
      <c r="AZ219" s="61" t="s">
        <v>1021</v>
      </c>
      <c r="BA219" s="58" t="s">
        <v>1037</v>
      </c>
      <c r="BC219" s="33">
        <f>AW219+AX219</f>
        <v>0</v>
      </c>
      <c r="BD219" s="33">
        <f>L219/(100-BE219)*100</f>
        <v>0</v>
      </c>
      <c r="BE219" s="33">
        <v>0</v>
      </c>
      <c r="BF219" s="33">
        <f>219</f>
        <v>219</v>
      </c>
      <c r="BH219" s="53">
        <f>K219*AO219</f>
        <v>0</v>
      </c>
      <c r="BI219" s="53">
        <f>K219*AP219</f>
        <v>0</v>
      </c>
      <c r="BJ219" s="53">
        <f>K219*L219</f>
        <v>0</v>
      </c>
      <c r="BK219" s="53" t="s">
        <v>1046</v>
      </c>
      <c r="BL219" s="33">
        <v>45</v>
      </c>
    </row>
    <row r="220" spans="1:14" ht="12.75">
      <c r="A220" s="17"/>
      <c r="D220" s="143" t="s">
        <v>635</v>
      </c>
      <c r="E220" s="144"/>
      <c r="F220" s="144"/>
      <c r="G220" s="144"/>
      <c r="H220" s="144"/>
      <c r="I220" s="144"/>
      <c r="K220" s="75">
        <v>0.9</v>
      </c>
      <c r="M220" s="14"/>
      <c r="N220" s="17"/>
    </row>
    <row r="221" spans="1:47" ht="12.75">
      <c r="A221" s="37"/>
      <c r="B221" s="44" t="s">
        <v>61</v>
      </c>
      <c r="C221" s="44" t="s">
        <v>138</v>
      </c>
      <c r="D221" s="139" t="s">
        <v>636</v>
      </c>
      <c r="E221" s="140"/>
      <c r="F221" s="140"/>
      <c r="G221" s="140"/>
      <c r="H221" s="140"/>
      <c r="I221" s="140"/>
      <c r="J221" s="50" t="s">
        <v>59</v>
      </c>
      <c r="K221" s="50" t="s">
        <v>59</v>
      </c>
      <c r="L221" s="50" t="s">
        <v>59</v>
      </c>
      <c r="M221" s="64">
        <f>SUM(M222:M224)</f>
        <v>0</v>
      </c>
      <c r="N221" s="17"/>
      <c r="AI221" s="58" t="s">
        <v>61</v>
      </c>
      <c r="AS221" s="68">
        <f>SUM(AJ222:AJ224)</f>
        <v>0</v>
      </c>
      <c r="AT221" s="68">
        <f>SUM(AK222:AK224)</f>
        <v>0</v>
      </c>
      <c r="AU221" s="68">
        <f>SUM(AL222:AL224)</f>
        <v>0</v>
      </c>
    </row>
    <row r="222" spans="1:64" ht="12.75">
      <c r="A222" s="38" t="s">
        <v>109</v>
      </c>
      <c r="B222" s="45" t="s">
        <v>61</v>
      </c>
      <c r="C222" s="45" t="s">
        <v>294</v>
      </c>
      <c r="D222" s="141" t="s">
        <v>637</v>
      </c>
      <c r="E222" s="142"/>
      <c r="F222" s="142"/>
      <c r="G222" s="142"/>
      <c r="H222" s="142"/>
      <c r="I222" s="142"/>
      <c r="J222" s="45" t="s">
        <v>972</v>
      </c>
      <c r="K222" s="74">
        <f>'Stavební rozpočet'!K222</f>
        <v>12.8</v>
      </c>
      <c r="L222" s="53">
        <f>'Stavební rozpočet'!L222</f>
        <v>0</v>
      </c>
      <c r="M222" s="65">
        <f>K222*L222</f>
        <v>0</v>
      </c>
      <c r="N222" s="17"/>
      <c r="Z222" s="33">
        <f>IF(AQ222="5",BJ222,0)</f>
        <v>0</v>
      </c>
      <c r="AB222" s="33">
        <f>IF(AQ222="1",BH222,0)</f>
        <v>0</v>
      </c>
      <c r="AC222" s="33">
        <f>IF(AQ222="1",BI222,0)</f>
        <v>0</v>
      </c>
      <c r="AD222" s="33">
        <f>IF(AQ222="7",BH222,0)</f>
        <v>0</v>
      </c>
      <c r="AE222" s="33">
        <f>IF(AQ222="7",BI222,0)</f>
        <v>0</v>
      </c>
      <c r="AF222" s="33">
        <f>IF(AQ222="2",BH222,0)</f>
        <v>0</v>
      </c>
      <c r="AG222" s="33">
        <f>IF(AQ222="2",BI222,0)</f>
        <v>0</v>
      </c>
      <c r="AH222" s="33">
        <f>IF(AQ222="0",BJ222,0)</f>
        <v>0</v>
      </c>
      <c r="AI222" s="58" t="s">
        <v>61</v>
      </c>
      <c r="AJ222" s="53">
        <f>IF(AN222=0,M222,0)</f>
        <v>0</v>
      </c>
      <c r="AK222" s="53">
        <f>IF(AN222=15,M222,0)</f>
        <v>0</v>
      </c>
      <c r="AL222" s="53">
        <f>IF(AN222=21,M222,0)</f>
        <v>0</v>
      </c>
      <c r="AN222" s="33">
        <v>21</v>
      </c>
      <c r="AO222" s="33">
        <f>L222*0.126788511749347</f>
        <v>0</v>
      </c>
      <c r="AP222" s="33">
        <f>L222*(1-0.126788511749347)</f>
        <v>0</v>
      </c>
      <c r="AQ222" s="59" t="s">
        <v>80</v>
      </c>
      <c r="AV222" s="33">
        <f>AW222+AX222</f>
        <v>0</v>
      </c>
      <c r="AW222" s="33">
        <f>K222*AO222</f>
        <v>0</v>
      </c>
      <c r="AX222" s="33">
        <f>K222*AP222</f>
        <v>0</v>
      </c>
      <c r="AY222" s="61" t="s">
        <v>1000</v>
      </c>
      <c r="AZ222" s="61" t="s">
        <v>1022</v>
      </c>
      <c r="BA222" s="58" t="s">
        <v>1037</v>
      </c>
      <c r="BC222" s="33">
        <f>AW222+AX222</f>
        <v>0</v>
      </c>
      <c r="BD222" s="33">
        <f>L222/(100-BE222)*100</f>
        <v>0</v>
      </c>
      <c r="BE222" s="33">
        <v>0</v>
      </c>
      <c r="BF222" s="33">
        <f>222</f>
        <v>222</v>
      </c>
      <c r="BH222" s="53">
        <f>K222*AO222</f>
        <v>0</v>
      </c>
      <c r="BI222" s="53">
        <f>K222*AP222</f>
        <v>0</v>
      </c>
      <c r="BJ222" s="53">
        <f>K222*L222</f>
        <v>0</v>
      </c>
      <c r="BK222" s="53" t="s">
        <v>1046</v>
      </c>
      <c r="BL222" s="33">
        <v>59</v>
      </c>
    </row>
    <row r="223" spans="1:14" ht="12.75">
      <c r="A223" s="17"/>
      <c r="D223" s="143" t="s">
        <v>465</v>
      </c>
      <c r="E223" s="144"/>
      <c r="F223" s="144"/>
      <c r="G223" s="144"/>
      <c r="H223" s="144"/>
      <c r="I223" s="144"/>
      <c r="K223" s="75">
        <v>12.8</v>
      </c>
      <c r="M223" s="14"/>
      <c r="N223" s="17"/>
    </row>
    <row r="224" spans="1:64" ht="12.75">
      <c r="A224" s="39" t="s">
        <v>110</v>
      </c>
      <c r="B224" s="46" t="s">
        <v>61</v>
      </c>
      <c r="C224" s="46" t="s">
        <v>295</v>
      </c>
      <c r="D224" s="148" t="s">
        <v>638</v>
      </c>
      <c r="E224" s="149"/>
      <c r="F224" s="149"/>
      <c r="G224" s="149"/>
      <c r="H224" s="149"/>
      <c r="I224" s="149"/>
      <c r="J224" s="46" t="s">
        <v>972</v>
      </c>
      <c r="K224" s="78">
        <f>'Stavební rozpočet'!K224</f>
        <v>1.28</v>
      </c>
      <c r="L224" s="54">
        <f>'Stavební rozpočet'!L224</f>
        <v>0</v>
      </c>
      <c r="M224" s="66">
        <f>K224*L224</f>
        <v>0</v>
      </c>
      <c r="N224" s="17"/>
      <c r="Z224" s="33">
        <f>IF(AQ224="5",BJ224,0)</f>
        <v>0</v>
      </c>
      <c r="AB224" s="33">
        <f>IF(AQ224="1",BH224,0)</f>
        <v>0</v>
      </c>
      <c r="AC224" s="33">
        <f>IF(AQ224="1",BI224,0)</f>
        <v>0</v>
      </c>
      <c r="AD224" s="33">
        <f>IF(AQ224="7",BH224,0)</f>
        <v>0</v>
      </c>
      <c r="AE224" s="33">
        <f>IF(AQ224="7",BI224,0)</f>
        <v>0</v>
      </c>
      <c r="AF224" s="33">
        <f>IF(AQ224="2",BH224,0)</f>
        <v>0</v>
      </c>
      <c r="AG224" s="33">
        <f>IF(AQ224="2",BI224,0)</f>
        <v>0</v>
      </c>
      <c r="AH224" s="33">
        <f>IF(AQ224="0",BJ224,0)</f>
        <v>0</v>
      </c>
      <c r="AI224" s="58" t="s">
        <v>61</v>
      </c>
      <c r="AJ224" s="54">
        <f>IF(AN224=0,M224,0)</f>
        <v>0</v>
      </c>
      <c r="AK224" s="54">
        <f>IF(AN224=15,M224,0)</f>
        <v>0</v>
      </c>
      <c r="AL224" s="54">
        <f>IF(AN224=21,M224,0)</f>
        <v>0</v>
      </c>
      <c r="AN224" s="33">
        <v>21</v>
      </c>
      <c r="AO224" s="33">
        <f>L224*1</f>
        <v>0</v>
      </c>
      <c r="AP224" s="33">
        <f>L224*(1-1)</f>
        <v>0</v>
      </c>
      <c r="AQ224" s="60" t="s">
        <v>80</v>
      </c>
      <c r="AV224" s="33">
        <f>AW224+AX224</f>
        <v>0</v>
      </c>
      <c r="AW224" s="33">
        <f>K224*AO224</f>
        <v>0</v>
      </c>
      <c r="AX224" s="33">
        <f>K224*AP224</f>
        <v>0</v>
      </c>
      <c r="AY224" s="61" t="s">
        <v>1000</v>
      </c>
      <c r="AZ224" s="61" t="s">
        <v>1022</v>
      </c>
      <c r="BA224" s="58" t="s">
        <v>1037</v>
      </c>
      <c r="BC224" s="33">
        <f>AW224+AX224</f>
        <v>0</v>
      </c>
      <c r="BD224" s="33">
        <f>L224/(100-BE224)*100</f>
        <v>0</v>
      </c>
      <c r="BE224" s="33">
        <v>0</v>
      </c>
      <c r="BF224" s="33">
        <f>224</f>
        <v>224</v>
      </c>
      <c r="BH224" s="54">
        <f>K224*AO224</f>
        <v>0</v>
      </c>
      <c r="BI224" s="54">
        <f>K224*AP224</f>
        <v>0</v>
      </c>
      <c r="BJ224" s="54">
        <f>K224*L224</f>
        <v>0</v>
      </c>
      <c r="BK224" s="54" t="s">
        <v>1047</v>
      </c>
      <c r="BL224" s="33">
        <v>59</v>
      </c>
    </row>
    <row r="225" spans="1:14" ht="12.75">
      <c r="A225" s="17"/>
      <c r="D225" s="143" t="s">
        <v>639</v>
      </c>
      <c r="E225" s="144"/>
      <c r="F225" s="144"/>
      <c r="G225" s="144"/>
      <c r="H225" s="144"/>
      <c r="I225" s="144"/>
      <c r="K225" s="75">
        <v>1.28</v>
      </c>
      <c r="M225" s="14"/>
      <c r="N225" s="17"/>
    </row>
    <row r="226" spans="1:47" ht="12.75">
      <c r="A226" s="37"/>
      <c r="B226" s="44" t="s">
        <v>61</v>
      </c>
      <c r="C226" s="44" t="s">
        <v>296</v>
      </c>
      <c r="D226" s="139" t="s">
        <v>640</v>
      </c>
      <c r="E226" s="140"/>
      <c r="F226" s="140"/>
      <c r="G226" s="140"/>
      <c r="H226" s="140"/>
      <c r="I226" s="140"/>
      <c r="J226" s="50" t="s">
        <v>59</v>
      </c>
      <c r="K226" s="50" t="s">
        <v>59</v>
      </c>
      <c r="L226" s="50" t="s">
        <v>59</v>
      </c>
      <c r="M226" s="64">
        <f>SUM(M227:M227)</f>
        <v>0</v>
      </c>
      <c r="N226" s="17"/>
      <c r="AI226" s="58" t="s">
        <v>61</v>
      </c>
      <c r="AS226" s="68">
        <f>SUM(AJ227:AJ227)</f>
        <v>0</v>
      </c>
      <c r="AT226" s="68">
        <f>SUM(AK227:AK227)</f>
        <v>0</v>
      </c>
      <c r="AU226" s="68">
        <f>SUM(AL227:AL227)</f>
        <v>0</v>
      </c>
    </row>
    <row r="227" spans="1:64" ht="12.75">
      <c r="A227" s="38" t="s">
        <v>111</v>
      </c>
      <c r="B227" s="45" t="s">
        <v>61</v>
      </c>
      <c r="C227" s="45" t="s">
        <v>297</v>
      </c>
      <c r="D227" s="141" t="s">
        <v>641</v>
      </c>
      <c r="E227" s="142"/>
      <c r="F227" s="142"/>
      <c r="G227" s="142"/>
      <c r="H227" s="142"/>
      <c r="I227" s="142"/>
      <c r="J227" s="45" t="s">
        <v>975</v>
      </c>
      <c r="K227" s="74">
        <f>'Stavební rozpočet'!K227</f>
        <v>6</v>
      </c>
      <c r="L227" s="53">
        <f>'Stavební rozpočet'!L227</f>
        <v>0</v>
      </c>
      <c r="M227" s="65">
        <f>K227*L227</f>
        <v>0</v>
      </c>
      <c r="N227" s="17"/>
      <c r="Z227" s="33">
        <f>IF(AQ227="5",BJ227,0)</f>
        <v>0</v>
      </c>
      <c r="AB227" s="33">
        <f>IF(AQ227="1",BH227,0)</f>
        <v>0</v>
      </c>
      <c r="AC227" s="33">
        <f>IF(AQ227="1",BI227,0)</f>
        <v>0</v>
      </c>
      <c r="AD227" s="33">
        <f>IF(AQ227="7",BH227,0)</f>
        <v>0</v>
      </c>
      <c r="AE227" s="33">
        <f>IF(AQ227="7",BI227,0)</f>
        <v>0</v>
      </c>
      <c r="AF227" s="33">
        <f>IF(AQ227="2",BH227,0)</f>
        <v>0</v>
      </c>
      <c r="AG227" s="33">
        <f>IF(AQ227="2",BI227,0)</f>
        <v>0</v>
      </c>
      <c r="AH227" s="33">
        <f>IF(AQ227="0",BJ227,0)</f>
        <v>0</v>
      </c>
      <c r="AI227" s="58" t="s">
        <v>61</v>
      </c>
      <c r="AJ227" s="53">
        <f>IF(AN227=0,M227,0)</f>
        <v>0</v>
      </c>
      <c r="AK227" s="53">
        <f>IF(AN227=15,M227,0)</f>
        <v>0</v>
      </c>
      <c r="AL227" s="53">
        <f>IF(AN227=21,M227,0)</f>
        <v>0</v>
      </c>
      <c r="AN227" s="33">
        <v>21</v>
      </c>
      <c r="AO227" s="33">
        <f>L227*0.0269430894308943</f>
        <v>0</v>
      </c>
      <c r="AP227" s="33">
        <f>L227*(1-0.0269430894308943)</f>
        <v>0</v>
      </c>
      <c r="AQ227" s="59" t="s">
        <v>86</v>
      </c>
      <c r="AV227" s="33">
        <f>AW227+AX227</f>
        <v>0</v>
      </c>
      <c r="AW227" s="33">
        <f>K227*AO227</f>
        <v>0</v>
      </c>
      <c r="AX227" s="33">
        <f>K227*AP227</f>
        <v>0</v>
      </c>
      <c r="AY227" s="61" t="s">
        <v>1001</v>
      </c>
      <c r="AZ227" s="61" t="s">
        <v>1023</v>
      </c>
      <c r="BA227" s="58" t="s">
        <v>1037</v>
      </c>
      <c r="BC227" s="33">
        <f>AW227+AX227</f>
        <v>0</v>
      </c>
      <c r="BD227" s="33">
        <f>L227/(100-BE227)*100</f>
        <v>0</v>
      </c>
      <c r="BE227" s="33">
        <v>0</v>
      </c>
      <c r="BF227" s="33">
        <f>227</f>
        <v>227</v>
      </c>
      <c r="BH227" s="53">
        <f>K227*AO227</f>
        <v>0</v>
      </c>
      <c r="BI227" s="53">
        <f>K227*AP227</f>
        <v>0</v>
      </c>
      <c r="BJ227" s="53">
        <f>K227*L227</f>
        <v>0</v>
      </c>
      <c r="BK227" s="53" t="s">
        <v>1046</v>
      </c>
      <c r="BL227" s="33">
        <v>711</v>
      </c>
    </row>
    <row r="228" spans="1:14" ht="12.75">
      <c r="A228" s="17"/>
      <c r="D228" s="143" t="s">
        <v>642</v>
      </c>
      <c r="E228" s="144"/>
      <c r="F228" s="144"/>
      <c r="G228" s="144"/>
      <c r="H228" s="144"/>
      <c r="I228" s="144"/>
      <c r="K228" s="75">
        <v>6</v>
      </c>
      <c r="M228" s="14"/>
      <c r="N228" s="17"/>
    </row>
    <row r="229" spans="1:47" ht="12.75">
      <c r="A229" s="37"/>
      <c r="B229" s="44" t="s">
        <v>61</v>
      </c>
      <c r="C229" s="44" t="s">
        <v>298</v>
      </c>
      <c r="D229" s="139" t="s">
        <v>643</v>
      </c>
      <c r="E229" s="140"/>
      <c r="F229" s="140"/>
      <c r="G229" s="140"/>
      <c r="H229" s="140"/>
      <c r="I229" s="140"/>
      <c r="J229" s="50" t="s">
        <v>59</v>
      </c>
      <c r="K229" s="50" t="s">
        <v>59</v>
      </c>
      <c r="L229" s="50" t="s">
        <v>59</v>
      </c>
      <c r="M229" s="64">
        <f>SUM(M230:M257)</f>
        <v>0</v>
      </c>
      <c r="N229" s="17"/>
      <c r="AI229" s="58" t="s">
        <v>61</v>
      </c>
      <c r="AS229" s="68">
        <f>SUM(AJ230:AJ257)</f>
        <v>0</v>
      </c>
      <c r="AT229" s="68">
        <f>SUM(AK230:AK257)</f>
        <v>0</v>
      </c>
      <c r="AU229" s="68">
        <f>SUM(AL230:AL257)</f>
        <v>0</v>
      </c>
    </row>
    <row r="230" spans="1:64" ht="12.75">
      <c r="A230" s="38" t="s">
        <v>112</v>
      </c>
      <c r="B230" s="45" t="s">
        <v>61</v>
      </c>
      <c r="C230" s="45" t="s">
        <v>299</v>
      </c>
      <c r="D230" s="141" t="s">
        <v>644</v>
      </c>
      <c r="E230" s="142"/>
      <c r="F230" s="142"/>
      <c r="G230" s="142"/>
      <c r="H230" s="142"/>
      <c r="I230" s="142"/>
      <c r="J230" s="45" t="s">
        <v>971</v>
      </c>
      <c r="K230" s="74">
        <f>'Stavební rozpočet'!K230</f>
        <v>3</v>
      </c>
      <c r="L230" s="53">
        <f>'Stavební rozpočet'!L230</f>
        <v>0</v>
      </c>
      <c r="M230" s="65">
        <f>K230*L230</f>
        <v>0</v>
      </c>
      <c r="N230" s="17"/>
      <c r="Z230" s="33">
        <f>IF(AQ230="5",BJ230,0)</f>
        <v>0</v>
      </c>
      <c r="AB230" s="33">
        <f>IF(AQ230="1",BH230,0)</f>
        <v>0</v>
      </c>
      <c r="AC230" s="33">
        <f>IF(AQ230="1",BI230,0)</f>
        <v>0</v>
      </c>
      <c r="AD230" s="33">
        <f>IF(AQ230="7",BH230,0)</f>
        <v>0</v>
      </c>
      <c r="AE230" s="33">
        <f>IF(AQ230="7",BI230,0)</f>
        <v>0</v>
      </c>
      <c r="AF230" s="33">
        <f>IF(AQ230="2",BH230,0)</f>
        <v>0</v>
      </c>
      <c r="AG230" s="33">
        <f>IF(AQ230="2",BI230,0)</f>
        <v>0</v>
      </c>
      <c r="AH230" s="33">
        <f>IF(AQ230="0",BJ230,0)</f>
        <v>0</v>
      </c>
      <c r="AI230" s="58" t="s">
        <v>61</v>
      </c>
      <c r="AJ230" s="53">
        <f>IF(AN230=0,M230,0)</f>
        <v>0</v>
      </c>
      <c r="AK230" s="53">
        <f>IF(AN230=15,M230,0)</f>
        <v>0</v>
      </c>
      <c r="AL230" s="53">
        <f>IF(AN230=21,M230,0)</f>
        <v>0</v>
      </c>
      <c r="AN230" s="33">
        <v>21</v>
      </c>
      <c r="AO230" s="33">
        <f>L230*0</f>
        <v>0</v>
      </c>
      <c r="AP230" s="33">
        <f>L230*(1-0)</f>
        <v>0</v>
      </c>
      <c r="AQ230" s="59" t="s">
        <v>86</v>
      </c>
      <c r="AV230" s="33">
        <f>AW230+AX230</f>
        <v>0</v>
      </c>
      <c r="AW230" s="33">
        <f>K230*AO230</f>
        <v>0</v>
      </c>
      <c r="AX230" s="33">
        <f>K230*AP230</f>
        <v>0</v>
      </c>
      <c r="AY230" s="61" t="s">
        <v>1002</v>
      </c>
      <c r="AZ230" s="61" t="s">
        <v>1024</v>
      </c>
      <c r="BA230" s="58" t="s">
        <v>1037</v>
      </c>
      <c r="BC230" s="33">
        <f>AW230+AX230</f>
        <v>0</v>
      </c>
      <c r="BD230" s="33">
        <f>L230/(100-BE230)*100</f>
        <v>0</v>
      </c>
      <c r="BE230" s="33">
        <v>0</v>
      </c>
      <c r="BF230" s="33">
        <f>230</f>
        <v>230</v>
      </c>
      <c r="BH230" s="53">
        <f>K230*AO230</f>
        <v>0</v>
      </c>
      <c r="BI230" s="53">
        <f>K230*AP230</f>
        <v>0</v>
      </c>
      <c r="BJ230" s="53">
        <f>K230*L230</f>
        <v>0</v>
      </c>
      <c r="BK230" s="53" t="s">
        <v>1046</v>
      </c>
      <c r="BL230" s="33">
        <v>721</v>
      </c>
    </row>
    <row r="231" spans="1:14" ht="12.75">
      <c r="A231" s="17"/>
      <c r="D231" s="143" t="s">
        <v>645</v>
      </c>
      <c r="E231" s="144"/>
      <c r="F231" s="144"/>
      <c r="G231" s="144"/>
      <c r="H231" s="144"/>
      <c r="I231" s="144"/>
      <c r="K231" s="75">
        <v>3</v>
      </c>
      <c r="M231" s="14"/>
      <c r="N231" s="17"/>
    </row>
    <row r="232" spans="1:64" ht="12.75">
      <c r="A232" s="39" t="s">
        <v>113</v>
      </c>
      <c r="B232" s="46" t="s">
        <v>61</v>
      </c>
      <c r="C232" s="46" t="s">
        <v>300</v>
      </c>
      <c r="D232" s="148" t="s">
        <v>646</v>
      </c>
      <c r="E232" s="149"/>
      <c r="F232" s="149"/>
      <c r="G232" s="149"/>
      <c r="H232" s="149"/>
      <c r="I232" s="149"/>
      <c r="J232" s="46" t="s">
        <v>975</v>
      </c>
      <c r="K232" s="78">
        <f>'Stavební rozpočet'!K232</f>
        <v>3.09</v>
      </c>
      <c r="L232" s="54">
        <f>'Stavební rozpočet'!L232</f>
        <v>0</v>
      </c>
      <c r="M232" s="66">
        <f>K232*L232</f>
        <v>0</v>
      </c>
      <c r="N232" s="17"/>
      <c r="Z232" s="33">
        <f>IF(AQ232="5",BJ232,0)</f>
        <v>0</v>
      </c>
      <c r="AB232" s="33">
        <f>IF(AQ232="1",BH232,0)</f>
        <v>0</v>
      </c>
      <c r="AC232" s="33">
        <f>IF(AQ232="1",BI232,0)</f>
        <v>0</v>
      </c>
      <c r="AD232" s="33">
        <f>IF(AQ232="7",BH232,0)</f>
        <v>0</v>
      </c>
      <c r="AE232" s="33">
        <f>IF(AQ232="7",BI232,0)</f>
        <v>0</v>
      </c>
      <c r="AF232" s="33">
        <f>IF(AQ232="2",BH232,0)</f>
        <v>0</v>
      </c>
      <c r="AG232" s="33">
        <f>IF(AQ232="2",BI232,0)</f>
        <v>0</v>
      </c>
      <c r="AH232" s="33">
        <f>IF(AQ232="0",BJ232,0)</f>
        <v>0</v>
      </c>
      <c r="AI232" s="58" t="s">
        <v>61</v>
      </c>
      <c r="AJ232" s="54">
        <f>IF(AN232=0,M232,0)</f>
        <v>0</v>
      </c>
      <c r="AK232" s="54">
        <f>IF(AN232=15,M232,0)</f>
        <v>0</v>
      </c>
      <c r="AL232" s="54">
        <f>IF(AN232=21,M232,0)</f>
        <v>0</v>
      </c>
      <c r="AN232" s="33">
        <v>21</v>
      </c>
      <c r="AO232" s="33">
        <f>L232*1</f>
        <v>0</v>
      </c>
      <c r="AP232" s="33">
        <f>L232*(1-1)</f>
        <v>0</v>
      </c>
      <c r="AQ232" s="60" t="s">
        <v>86</v>
      </c>
      <c r="AV232" s="33">
        <f>AW232+AX232</f>
        <v>0</v>
      </c>
      <c r="AW232" s="33">
        <f>K232*AO232</f>
        <v>0</v>
      </c>
      <c r="AX232" s="33">
        <f>K232*AP232</f>
        <v>0</v>
      </c>
      <c r="AY232" s="61" t="s">
        <v>1002</v>
      </c>
      <c r="AZ232" s="61" t="s">
        <v>1024</v>
      </c>
      <c r="BA232" s="58" t="s">
        <v>1037</v>
      </c>
      <c r="BC232" s="33">
        <f>AW232+AX232</f>
        <v>0</v>
      </c>
      <c r="BD232" s="33">
        <f>L232/(100-BE232)*100</f>
        <v>0</v>
      </c>
      <c r="BE232" s="33">
        <v>0</v>
      </c>
      <c r="BF232" s="33">
        <f>232</f>
        <v>232</v>
      </c>
      <c r="BH232" s="54">
        <f>K232*AO232</f>
        <v>0</v>
      </c>
      <c r="BI232" s="54">
        <f>K232*AP232</f>
        <v>0</v>
      </c>
      <c r="BJ232" s="54">
        <f>K232*L232</f>
        <v>0</v>
      </c>
      <c r="BK232" s="54" t="s">
        <v>1047</v>
      </c>
      <c r="BL232" s="33">
        <v>721</v>
      </c>
    </row>
    <row r="233" spans="1:14" ht="12.75">
      <c r="A233" s="17"/>
      <c r="D233" s="143" t="s">
        <v>647</v>
      </c>
      <c r="E233" s="144"/>
      <c r="F233" s="144"/>
      <c r="G233" s="144"/>
      <c r="H233" s="144"/>
      <c r="I233" s="144"/>
      <c r="K233" s="75">
        <v>1</v>
      </c>
      <c r="M233" s="14"/>
      <c r="N233" s="17"/>
    </row>
    <row r="234" spans="1:14" ht="12.75">
      <c r="A234" s="17"/>
      <c r="D234" s="143" t="s">
        <v>648</v>
      </c>
      <c r="E234" s="144"/>
      <c r="F234" s="144"/>
      <c r="G234" s="144"/>
      <c r="H234" s="144"/>
      <c r="I234" s="144"/>
      <c r="K234" s="75">
        <v>1</v>
      </c>
      <c r="M234" s="14"/>
      <c r="N234" s="17"/>
    </row>
    <row r="235" spans="1:14" ht="12.75">
      <c r="A235" s="17"/>
      <c r="D235" s="143" t="s">
        <v>649</v>
      </c>
      <c r="E235" s="144"/>
      <c r="F235" s="144"/>
      <c r="G235" s="144"/>
      <c r="H235" s="144"/>
      <c r="I235" s="144"/>
      <c r="K235" s="75">
        <v>1</v>
      </c>
      <c r="M235" s="14"/>
      <c r="N235" s="17"/>
    </row>
    <row r="236" spans="1:14" ht="12.75">
      <c r="A236" s="17"/>
      <c r="D236" s="143" t="s">
        <v>650</v>
      </c>
      <c r="E236" s="144"/>
      <c r="F236" s="144"/>
      <c r="G236" s="144"/>
      <c r="H236" s="144"/>
      <c r="I236" s="144"/>
      <c r="K236" s="75">
        <v>0.09</v>
      </c>
      <c r="M236" s="14"/>
      <c r="N236" s="17"/>
    </row>
    <row r="237" spans="1:64" ht="12.75">
      <c r="A237" s="38" t="s">
        <v>114</v>
      </c>
      <c r="B237" s="45" t="s">
        <v>61</v>
      </c>
      <c r="C237" s="45" t="s">
        <v>301</v>
      </c>
      <c r="D237" s="141" t="s">
        <v>651</v>
      </c>
      <c r="E237" s="142"/>
      <c r="F237" s="142"/>
      <c r="G237" s="142"/>
      <c r="H237" s="142"/>
      <c r="I237" s="142"/>
      <c r="J237" s="45" t="s">
        <v>968</v>
      </c>
      <c r="K237" s="74">
        <f>'Stavební rozpočet'!K237</f>
        <v>15</v>
      </c>
      <c r="L237" s="53">
        <f>'Stavební rozpočet'!L237</f>
        <v>0</v>
      </c>
      <c r="M237" s="65">
        <f>K237*L237</f>
        <v>0</v>
      </c>
      <c r="N237" s="17"/>
      <c r="Z237" s="33">
        <f>IF(AQ237="5",BJ237,0)</f>
        <v>0</v>
      </c>
      <c r="AB237" s="33">
        <f>IF(AQ237="1",BH237,0)</f>
        <v>0</v>
      </c>
      <c r="AC237" s="33">
        <f>IF(AQ237="1",BI237,0)</f>
        <v>0</v>
      </c>
      <c r="AD237" s="33">
        <f>IF(AQ237="7",BH237,0)</f>
        <v>0</v>
      </c>
      <c r="AE237" s="33">
        <f>IF(AQ237="7",BI237,0)</f>
        <v>0</v>
      </c>
      <c r="AF237" s="33">
        <f>IF(AQ237="2",BH237,0)</f>
        <v>0</v>
      </c>
      <c r="AG237" s="33">
        <f>IF(AQ237="2",BI237,0)</f>
        <v>0</v>
      </c>
      <c r="AH237" s="33">
        <f>IF(AQ237="0",BJ237,0)</f>
        <v>0</v>
      </c>
      <c r="AI237" s="58" t="s">
        <v>61</v>
      </c>
      <c r="AJ237" s="53">
        <f>IF(AN237=0,M237,0)</f>
        <v>0</v>
      </c>
      <c r="AK237" s="53">
        <f>IF(AN237=15,M237,0)</f>
        <v>0</v>
      </c>
      <c r="AL237" s="53">
        <f>IF(AN237=21,M237,0)</f>
        <v>0</v>
      </c>
      <c r="AN237" s="33">
        <v>21</v>
      </c>
      <c r="AO237" s="33">
        <f>L237*0</f>
        <v>0</v>
      </c>
      <c r="AP237" s="33">
        <f>L237*(1-0)</f>
        <v>0</v>
      </c>
      <c r="AQ237" s="59" t="s">
        <v>86</v>
      </c>
      <c r="AV237" s="33">
        <f>AW237+AX237</f>
        <v>0</v>
      </c>
      <c r="AW237" s="33">
        <f>K237*AO237</f>
        <v>0</v>
      </c>
      <c r="AX237" s="33">
        <f>K237*AP237</f>
        <v>0</v>
      </c>
      <c r="AY237" s="61" t="s">
        <v>1002</v>
      </c>
      <c r="AZ237" s="61" t="s">
        <v>1024</v>
      </c>
      <c r="BA237" s="58" t="s">
        <v>1037</v>
      </c>
      <c r="BC237" s="33">
        <f>AW237+AX237</f>
        <v>0</v>
      </c>
      <c r="BD237" s="33">
        <f>L237/(100-BE237)*100</f>
        <v>0</v>
      </c>
      <c r="BE237" s="33">
        <v>0</v>
      </c>
      <c r="BF237" s="33">
        <f>237</f>
        <v>237</v>
      </c>
      <c r="BH237" s="53">
        <f>K237*AO237</f>
        <v>0</v>
      </c>
      <c r="BI237" s="53">
        <f>K237*AP237</f>
        <v>0</v>
      </c>
      <c r="BJ237" s="53">
        <f>K237*L237</f>
        <v>0</v>
      </c>
      <c r="BK237" s="53" t="s">
        <v>1046</v>
      </c>
      <c r="BL237" s="33">
        <v>721</v>
      </c>
    </row>
    <row r="238" spans="1:14" ht="12.75">
      <c r="A238" s="17"/>
      <c r="C238" s="48" t="s">
        <v>269</v>
      </c>
      <c r="D238" s="145" t="s">
        <v>652</v>
      </c>
      <c r="E238" s="146"/>
      <c r="F238" s="146"/>
      <c r="G238" s="146"/>
      <c r="H238" s="146"/>
      <c r="I238" s="146"/>
      <c r="J238" s="146"/>
      <c r="K238" s="146"/>
      <c r="L238" s="146"/>
      <c r="M238" s="147"/>
      <c r="N238" s="17"/>
    </row>
    <row r="239" spans="1:14" ht="12.75">
      <c r="A239" s="17"/>
      <c r="D239" s="143" t="s">
        <v>653</v>
      </c>
      <c r="E239" s="144"/>
      <c r="F239" s="144"/>
      <c r="G239" s="144"/>
      <c r="H239" s="144"/>
      <c r="I239" s="144"/>
      <c r="K239" s="75">
        <v>15</v>
      </c>
      <c r="M239" s="14"/>
      <c r="N239" s="17"/>
    </row>
    <row r="240" spans="1:64" ht="12.75">
      <c r="A240" s="39" t="s">
        <v>115</v>
      </c>
      <c r="B240" s="46" t="s">
        <v>61</v>
      </c>
      <c r="C240" s="46" t="s">
        <v>302</v>
      </c>
      <c r="D240" s="148" t="s">
        <v>654</v>
      </c>
      <c r="E240" s="149"/>
      <c r="F240" s="149"/>
      <c r="G240" s="149"/>
      <c r="H240" s="149"/>
      <c r="I240" s="149"/>
      <c r="J240" s="46" t="s">
        <v>975</v>
      </c>
      <c r="K240" s="78">
        <f>'Stavební rozpočet'!K240</f>
        <v>5</v>
      </c>
      <c r="L240" s="54">
        <f>'Stavební rozpočet'!L240</f>
        <v>0</v>
      </c>
      <c r="M240" s="66">
        <f>K240*L240</f>
        <v>0</v>
      </c>
      <c r="N240" s="17"/>
      <c r="Z240" s="33">
        <f>IF(AQ240="5",BJ240,0)</f>
        <v>0</v>
      </c>
      <c r="AB240" s="33">
        <f>IF(AQ240="1",BH240,0)</f>
        <v>0</v>
      </c>
      <c r="AC240" s="33">
        <f>IF(AQ240="1",BI240,0)</f>
        <v>0</v>
      </c>
      <c r="AD240" s="33">
        <f>IF(AQ240="7",BH240,0)</f>
        <v>0</v>
      </c>
      <c r="AE240" s="33">
        <f>IF(AQ240="7",BI240,0)</f>
        <v>0</v>
      </c>
      <c r="AF240" s="33">
        <f>IF(AQ240="2",BH240,0)</f>
        <v>0</v>
      </c>
      <c r="AG240" s="33">
        <f>IF(AQ240="2",BI240,0)</f>
        <v>0</v>
      </c>
      <c r="AH240" s="33">
        <f>IF(AQ240="0",BJ240,0)</f>
        <v>0</v>
      </c>
      <c r="AI240" s="58" t="s">
        <v>61</v>
      </c>
      <c r="AJ240" s="54">
        <f>IF(AN240=0,M240,0)</f>
        <v>0</v>
      </c>
      <c r="AK240" s="54">
        <f>IF(AN240=15,M240,0)</f>
        <v>0</v>
      </c>
      <c r="AL240" s="54">
        <f>IF(AN240=21,M240,0)</f>
        <v>0</v>
      </c>
      <c r="AN240" s="33">
        <v>21</v>
      </c>
      <c r="AO240" s="33">
        <f>L240*1</f>
        <v>0</v>
      </c>
      <c r="AP240" s="33">
        <f>L240*(1-1)</f>
        <v>0</v>
      </c>
      <c r="AQ240" s="60" t="s">
        <v>86</v>
      </c>
      <c r="AV240" s="33">
        <f>AW240+AX240</f>
        <v>0</v>
      </c>
      <c r="AW240" s="33">
        <f>K240*AO240</f>
        <v>0</v>
      </c>
      <c r="AX240" s="33">
        <f>K240*AP240</f>
        <v>0</v>
      </c>
      <c r="AY240" s="61" t="s">
        <v>1002</v>
      </c>
      <c r="AZ240" s="61" t="s">
        <v>1024</v>
      </c>
      <c r="BA240" s="58" t="s">
        <v>1037</v>
      </c>
      <c r="BC240" s="33">
        <f>AW240+AX240</f>
        <v>0</v>
      </c>
      <c r="BD240" s="33">
        <f>L240/(100-BE240)*100</f>
        <v>0</v>
      </c>
      <c r="BE240" s="33">
        <v>0</v>
      </c>
      <c r="BF240" s="33">
        <f>240</f>
        <v>240</v>
      </c>
      <c r="BH240" s="54">
        <f>K240*AO240</f>
        <v>0</v>
      </c>
      <c r="BI240" s="54">
        <f>K240*AP240</f>
        <v>0</v>
      </c>
      <c r="BJ240" s="54">
        <f>K240*L240</f>
        <v>0</v>
      </c>
      <c r="BK240" s="54" t="s">
        <v>1047</v>
      </c>
      <c r="BL240" s="33">
        <v>721</v>
      </c>
    </row>
    <row r="241" spans="1:14" ht="12.75">
      <c r="A241" s="17"/>
      <c r="D241" s="143" t="s">
        <v>655</v>
      </c>
      <c r="E241" s="144"/>
      <c r="F241" s="144"/>
      <c r="G241" s="144"/>
      <c r="H241" s="144"/>
      <c r="I241" s="144"/>
      <c r="K241" s="75">
        <v>5</v>
      </c>
      <c r="M241" s="14"/>
      <c r="N241" s="17"/>
    </row>
    <row r="242" spans="1:64" ht="12.75">
      <c r="A242" s="39" t="s">
        <v>116</v>
      </c>
      <c r="B242" s="46" t="s">
        <v>61</v>
      </c>
      <c r="C242" s="46" t="s">
        <v>303</v>
      </c>
      <c r="D242" s="148" t="s">
        <v>656</v>
      </c>
      <c r="E242" s="149"/>
      <c r="F242" s="149"/>
      <c r="G242" s="149"/>
      <c r="H242" s="149"/>
      <c r="I242" s="149"/>
      <c r="J242" s="46" t="s">
        <v>975</v>
      </c>
      <c r="K242" s="78">
        <f>'Stavební rozpočet'!K242</f>
        <v>5</v>
      </c>
      <c r="L242" s="54">
        <f>'Stavební rozpočet'!L242</f>
        <v>0</v>
      </c>
      <c r="M242" s="66">
        <f>K242*L242</f>
        <v>0</v>
      </c>
      <c r="N242" s="17"/>
      <c r="Z242" s="33">
        <f>IF(AQ242="5",BJ242,0)</f>
        <v>0</v>
      </c>
      <c r="AB242" s="33">
        <f>IF(AQ242="1",BH242,0)</f>
        <v>0</v>
      </c>
      <c r="AC242" s="33">
        <f>IF(AQ242="1",BI242,0)</f>
        <v>0</v>
      </c>
      <c r="AD242" s="33">
        <f>IF(AQ242="7",BH242,0)</f>
        <v>0</v>
      </c>
      <c r="AE242" s="33">
        <f>IF(AQ242="7",BI242,0)</f>
        <v>0</v>
      </c>
      <c r="AF242" s="33">
        <f>IF(AQ242="2",BH242,0)</f>
        <v>0</v>
      </c>
      <c r="AG242" s="33">
        <f>IF(AQ242="2",BI242,0)</f>
        <v>0</v>
      </c>
      <c r="AH242" s="33">
        <f>IF(AQ242="0",BJ242,0)</f>
        <v>0</v>
      </c>
      <c r="AI242" s="58" t="s">
        <v>61</v>
      </c>
      <c r="AJ242" s="54">
        <f>IF(AN242=0,M242,0)</f>
        <v>0</v>
      </c>
      <c r="AK242" s="54">
        <f>IF(AN242=15,M242,0)</f>
        <v>0</v>
      </c>
      <c r="AL242" s="54">
        <f>IF(AN242=21,M242,0)</f>
        <v>0</v>
      </c>
      <c r="AN242" s="33">
        <v>21</v>
      </c>
      <c r="AO242" s="33">
        <f>L242*1</f>
        <v>0</v>
      </c>
      <c r="AP242" s="33">
        <f>L242*(1-1)</f>
        <v>0</v>
      </c>
      <c r="AQ242" s="60" t="s">
        <v>86</v>
      </c>
      <c r="AV242" s="33">
        <f>AW242+AX242</f>
        <v>0</v>
      </c>
      <c r="AW242" s="33">
        <f>K242*AO242</f>
        <v>0</v>
      </c>
      <c r="AX242" s="33">
        <f>K242*AP242</f>
        <v>0</v>
      </c>
      <c r="AY242" s="61" t="s">
        <v>1002</v>
      </c>
      <c r="AZ242" s="61" t="s">
        <v>1024</v>
      </c>
      <c r="BA242" s="58" t="s">
        <v>1037</v>
      </c>
      <c r="BC242" s="33">
        <f>AW242+AX242</f>
        <v>0</v>
      </c>
      <c r="BD242" s="33">
        <f>L242/(100-BE242)*100</f>
        <v>0</v>
      </c>
      <c r="BE242" s="33">
        <v>0</v>
      </c>
      <c r="BF242" s="33">
        <f>242</f>
        <v>242</v>
      </c>
      <c r="BH242" s="54">
        <f>K242*AO242</f>
        <v>0</v>
      </c>
      <c r="BI242" s="54">
        <f>K242*AP242</f>
        <v>0</v>
      </c>
      <c r="BJ242" s="54">
        <f>K242*L242</f>
        <v>0</v>
      </c>
      <c r="BK242" s="54" t="s">
        <v>1047</v>
      </c>
      <c r="BL242" s="33">
        <v>721</v>
      </c>
    </row>
    <row r="243" spans="1:14" ht="12.75">
      <c r="A243" s="17"/>
      <c r="D243" s="143" t="s">
        <v>655</v>
      </c>
      <c r="E243" s="144"/>
      <c r="F243" s="144"/>
      <c r="G243" s="144"/>
      <c r="H243" s="144"/>
      <c r="I243" s="144"/>
      <c r="K243" s="75">
        <v>5</v>
      </c>
      <c r="M243" s="14"/>
      <c r="N243" s="17"/>
    </row>
    <row r="244" spans="1:64" ht="12.75">
      <c r="A244" s="39" t="s">
        <v>117</v>
      </c>
      <c r="B244" s="46" t="s">
        <v>61</v>
      </c>
      <c r="C244" s="46" t="s">
        <v>304</v>
      </c>
      <c r="D244" s="148" t="s">
        <v>657</v>
      </c>
      <c r="E244" s="149"/>
      <c r="F244" s="149"/>
      <c r="G244" s="149"/>
      <c r="H244" s="149"/>
      <c r="I244" s="149"/>
      <c r="J244" s="46" t="s">
        <v>975</v>
      </c>
      <c r="K244" s="78">
        <f>'Stavební rozpočet'!K244</f>
        <v>20</v>
      </c>
      <c r="L244" s="54">
        <f>'Stavební rozpočet'!L244</f>
        <v>0</v>
      </c>
      <c r="M244" s="66">
        <f>K244*L244</f>
        <v>0</v>
      </c>
      <c r="N244" s="17"/>
      <c r="Z244" s="33">
        <f>IF(AQ244="5",BJ244,0)</f>
        <v>0</v>
      </c>
      <c r="AB244" s="33">
        <f>IF(AQ244="1",BH244,0)</f>
        <v>0</v>
      </c>
      <c r="AC244" s="33">
        <f>IF(AQ244="1",BI244,0)</f>
        <v>0</v>
      </c>
      <c r="AD244" s="33">
        <f>IF(AQ244="7",BH244,0)</f>
        <v>0</v>
      </c>
      <c r="AE244" s="33">
        <f>IF(AQ244="7",BI244,0)</f>
        <v>0</v>
      </c>
      <c r="AF244" s="33">
        <f>IF(AQ244="2",BH244,0)</f>
        <v>0</v>
      </c>
      <c r="AG244" s="33">
        <f>IF(AQ244="2",BI244,0)</f>
        <v>0</v>
      </c>
      <c r="AH244" s="33">
        <f>IF(AQ244="0",BJ244,0)</f>
        <v>0</v>
      </c>
      <c r="AI244" s="58" t="s">
        <v>61</v>
      </c>
      <c r="AJ244" s="54">
        <f>IF(AN244=0,M244,0)</f>
        <v>0</v>
      </c>
      <c r="AK244" s="54">
        <f>IF(AN244=15,M244,0)</f>
        <v>0</v>
      </c>
      <c r="AL244" s="54">
        <f>IF(AN244=21,M244,0)</f>
        <v>0</v>
      </c>
      <c r="AN244" s="33">
        <v>21</v>
      </c>
      <c r="AO244" s="33">
        <f>L244*1</f>
        <v>0</v>
      </c>
      <c r="AP244" s="33">
        <f>L244*(1-1)</f>
        <v>0</v>
      </c>
      <c r="AQ244" s="60" t="s">
        <v>86</v>
      </c>
      <c r="AV244" s="33">
        <f>AW244+AX244</f>
        <v>0</v>
      </c>
      <c r="AW244" s="33">
        <f>K244*AO244</f>
        <v>0</v>
      </c>
      <c r="AX244" s="33">
        <f>K244*AP244</f>
        <v>0</v>
      </c>
      <c r="AY244" s="61" t="s">
        <v>1002</v>
      </c>
      <c r="AZ244" s="61" t="s">
        <v>1024</v>
      </c>
      <c r="BA244" s="58" t="s">
        <v>1037</v>
      </c>
      <c r="BC244" s="33">
        <f>AW244+AX244</f>
        <v>0</v>
      </c>
      <c r="BD244" s="33">
        <f>L244/(100-BE244)*100</f>
        <v>0</v>
      </c>
      <c r="BE244" s="33">
        <v>0</v>
      </c>
      <c r="BF244" s="33">
        <f>244</f>
        <v>244</v>
      </c>
      <c r="BH244" s="54">
        <f>K244*AO244</f>
        <v>0</v>
      </c>
      <c r="BI244" s="54">
        <f>K244*AP244</f>
        <v>0</v>
      </c>
      <c r="BJ244" s="54">
        <f>K244*L244</f>
        <v>0</v>
      </c>
      <c r="BK244" s="54" t="s">
        <v>1047</v>
      </c>
      <c r="BL244" s="33">
        <v>721</v>
      </c>
    </row>
    <row r="245" spans="1:14" ht="12.75">
      <c r="A245" s="17"/>
      <c r="D245" s="143" t="s">
        <v>658</v>
      </c>
      <c r="E245" s="144"/>
      <c r="F245" s="144"/>
      <c r="G245" s="144"/>
      <c r="H245" s="144"/>
      <c r="I245" s="144"/>
      <c r="K245" s="75">
        <v>20</v>
      </c>
      <c r="M245" s="14"/>
      <c r="N245" s="17"/>
    </row>
    <row r="246" spans="1:64" ht="12.75">
      <c r="A246" s="39" t="s">
        <v>118</v>
      </c>
      <c r="B246" s="46" t="s">
        <v>61</v>
      </c>
      <c r="C246" s="46" t="s">
        <v>305</v>
      </c>
      <c r="D246" s="148" t="s">
        <v>659</v>
      </c>
      <c r="E246" s="149"/>
      <c r="F246" s="149"/>
      <c r="G246" s="149"/>
      <c r="H246" s="149"/>
      <c r="I246" s="149"/>
      <c r="J246" s="46" t="s">
        <v>975</v>
      </c>
      <c r="K246" s="78">
        <f>'Stavební rozpočet'!K246</f>
        <v>1</v>
      </c>
      <c r="L246" s="54">
        <f>'Stavební rozpočet'!L246</f>
        <v>0</v>
      </c>
      <c r="M246" s="66">
        <f>K246*L246</f>
        <v>0</v>
      </c>
      <c r="N246" s="17"/>
      <c r="Z246" s="33">
        <f>IF(AQ246="5",BJ246,0)</f>
        <v>0</v>
      </c>
      <c r="AB246" s="33">
        <f>IF(AQ246="1",BH246,0)</f>
        <v>0</v>
      </c>
      <c r="AC246" s="33">
        <f>IF(AQ246="1",BI246,0)</f>
        <v>0</v>
      </c>
      <c r="AD246" s="33">
        <f>IF(AQ246="7",BH246,0)</f>
        <v>0</v>
      </c>
      <c r="AE246" s="33">
        <f>IF(AQ246="7",BI246,0)</f>
        <v>0</v>
      </c>
      <c r="AF246" s="33">
        <f>IF(AQ246="2",BH246,0)</f>
        <v>0</v>
      </c>
      <c r="AG246" s="33">
        <f>IF(AQ246="2",BI246,0)</f>
        <v>0</v>
      </c>
      <c r="AH246" s="33">
        <f>IF(AQ246="0",BJ246,0)</f>
        <v>0</v>
      </c>
      <c r="AI246" s="58" t="s">
        <v>61</v>
      </c>
      <c r="AJ246" s="54">
        <f>IF(AN246=0,M246,0)</f>
        <v>0</v>
      </c>
      <c r="AK246" s="54">
        <f>IF(AN246=15,M246,0)</f>
        <v>0</v>
      </c>
      <c r="AL246" s="54">
        <f>IF(AN246=21,M246,0)</f>
        <v>0</v>
      </c>
      <c r="AN246" s="33">
        <v>21</v>
      </c>
      <c r="AO246" s="33">
        <f>L246*1</f>
        <v>0</v>
      </c>
      <c r="AP246" s="33">
        <f>L246*(1-1)</f>
        <v>0</v>
      </c>
      <c r="AQ246" s="60" t="s">
        <v>86</v>
      </c>
      <c r="AV246" s="33">
        <f>AW246+AX246</f>
        <v>0</v>
      </c>
      <c r="AW246" s="33">
        <f>K246*AO246</f>
        <v>0</v>
      </c>
      <c r="AX246" s="33">
        <f>K246*AP246</f>
        <v>0</v>
      </c>
      <c r="AY246" s="61" t="s">
        <v>1002</v>
      </c>
      <c r="AZ246" s="61" t="s">
        <v>1024</v>
      </c>
      <c r="BA246" s="58" t="s">
        <v>1037</v>
      </c>
      <c r="BC246" s="33">
        <f>AW246+AX246</f>
        <v>0</v>
      </c>
      <c r="BD246" s="33">
        <f>L246/(100-BE246)*100</f>
        <v>0</v>
      </c>
      <c r="BE246" s="33">
        <v>0</v>
      </c>
      <c r="BF246" s="33">
        <f>246</f>
        <v>246</v>
      </c>
      <c r="BH246" s="54">
        <f>K246*AO246</f>
        <v>0</v>
      </c>
      <c r="BI246" s="54">
        <f>K246*AP246</f>
        <v>0</v>
      </c>
      <c r="BJ246" s="54">
        <f>K246*L246</f>
        <v>0</v>
      </c>
      <c r="BK246" s="54" t="s">
        <v>1047</v>
      </c>
      <c r="BL246" s="33">
        <v>721</v>
      </c>
    </row>
    <row r="247" spans="1:14" ht="12.75">
      <c r="A247" s="17"/>
      <c r="D247" s="143" t="s">
        <v>660</v>
      </c>
      <c r="E247" s="144"/>
      <c r="F247" s="144"/>
      <c r="G247" s="144"/>
      <c r="H247" s="144"/>
      <c r="I247" s="144"/>
      <c r="K247" s="75">
        <v>1</v>
      </c>
      <c r="M247" s="14"/>
      <c r="N247" s="17"/>
    </row>
    <row r="248" spans="1:64" ht="12.75">
      <c r="A248" s="38" t="s">
        <v>119</v>
      </c>
      <c r="B248" s="45" t="s">
        <v>61</v>
      </c>
      <c r="C248" s="45" t="s">
        <v>306</v>
      </c>
      <c r="D248" s="141" t="s">
        <v>661</v>
      </c>
      <c r="E248" s="142"/>
      <c r="F248" s="142"/>
      <c r="G248" s="142"/>
      <c r="H248" s="142"/>
      <c r="I248" s="142"/>
      <c r="J248" s="45" t="s">
        <v>968</v>
      </c>
      <c r="K248" s="74">
        <f>'Stavební rozpočet'!K248</f>
        <v>3</v>
      </c>
      <c r="L248" s="53">
        <f>'Stavební rozpočet'!L248</f>
        <v>0</v>
      </c>
      <c r="M248" s="65">
        <f>K248*L248</f>
        <v>0</v>
      </c>
      <c r="N248" s="17"/>
      <c r="Z248" s="33">
        <f>IF(AQ248="5",BJ248,0)</f>
        <v>0</v>
      </c>
      <c r="AB248" s="33">
        <f>IF(AQ248="1",BH248,0)</f>
        <v>0</v>
      </c>
      <c r="AC248" s="33">
        <f>IF(AQ248="1",BI248,0)</f>
        <v>0</v>
      </c>
      <c r="AD248" s="33">
        <f>IF(AQ248="7",BH248,0)</f>
        <v>0</v>
      </c>
      <c r="AE248" s="33">
        <f>IF(AQ248="7",BI248,0)</f>
        <v>0</v>
      </c>
      <c r="AF248" s="33">
        <f>IF(AQ248="2",BH248,0)</f>
        <v>0</v>
      </c>
      <c r="AG248" s="33">
        <f>IF(AQ248="2",BI248,0)</f>
        <v>0</v>
      </c>
      <c r="AH248" s="33">
        <f>IF(AQ248="0",BJ248,0)</f>
        <v>0</v>
      </c>
      <c r="AI248" s="58" t="s">
        <v>61</v>
      </c>
      <c r="AJ248" s="53">
        <f>IF(AN248=0,M248,0)</f>
        <v>0</v>
      </c>
      <c r="AK248" s="53">
        <f>IF(AN248=15,M248,0)</f>
        <v>0</v>
      </c>
      <c r="AL248" s="53">
        <f>IF(AN248=21,M248,0)</f>
        <v>0</v>
      </c>
      <c r="AN248" s="33">
        <v>21</v>
      </c>
      <c r="AO248" s="33">
        <f>L248*0</f>
        <v>0</v>
      </c>
      <c r="AP248" s="33">
        <f>L248*(1-0)</f>
        <v>0</v>
      </c>
      <c r="AQ248" s="59" t="s">
        <v>86</v>
      </c>
      <c r="AV248" s="33">
        <f>AW248+AX248</f>
        <v>0</v>
      </c>
      <c r="AW248" s="33">
        <f>K248*AO248</f>
        <v>0</v>
      </c>
      <c r="AX248" s="33">
        <f>K248*AP248</f>
        <v>0</v>
      </c>
      <c r="AY248" s="61" t="s">
        <v>1002</v>
      </c>
      <c r="AZ248" s="61" t="s">
        <v>1024</v>
      </c>
      <c r="BA248" s="58" t="s">
        <v>1037</v>
      </c>
      <c r="BC248" s="33">
        <f>AW248+AX248</f>
        <v>0</v>
      </c>
      <c r="BD248" s="33">
        <f>L248/(100-BE248)*100</f>
        <v>0</v>
      </c>
      <c r="BE248" s="33">
        <v>0</v>
      </c>
      <c r="BF248" s="33">
        <f>248</f>
        <v>248</v>
      </c>
      <c r="BH248" s="53">
        <f>K248*AO248</f>
        <v>0</v>
      </c>
      <c r="BI248" s="53">
        <f>K248*AP248</f>
        <v>0</v>
      </c>
      <c r="BJ248" s="53">
        <f>K248*L248</f>
        <v>0</v>
      </c>
      <c r="BK248" s="53" t="s">
        <v>1046</v>
      </c>
      <c r="BL248" s="33">
        <v>721</v>
      </c>
    </row>
    <row r="249" spans="1:14" ht="12.75">
      <c r="A249" s="17"/>
      <c r="C249" s="48" t="s">
        <v>269</v>
      </c>
      <c r="D249" s="145" t="s">
        <v>652</v>
      </c>
      <c r="E249" s="146"/>
      <c r="F249" s="146"/>
      <c r="G249" s="146"/>
      <c r="H249" s="146"/>
      <c r="I249" s="146"/>
      <c r="J249" s="146"/>
      <c r="K249" s="146"/>
      <c r="L249" s="146"/>
      <c r="M249" s="147"/>
      <c r="N249" s="17"/>
    </row>
    <row r="250" spans="1:14" ht="12.75">
      <c r="A250" s="17"/>
      <c r="D250" s="143" t="s">
        <v>645</v>
      </c>
      <c r="E250" s="144"/>
      <c r="F250" s="144"/>
      <c r="G250" s="144"/>
      <c r="H250" s="144"/>
      <c r="I250" s="144"/>
      <c r="K250" s="75">
        <v>3</v>
      </c>
      <c r="M250" s="14"/>
      <c r="N250" s="17"/>
    </row>
    <row r="251" spans="1:64" ht="12.75">
      <c r="A251" s="39" t="s">
        <v>120</v>
      </c>
      <c r="B251" s="46" t="s">
        <v>61</v>
      </c>
      <c r="C251" s="46" t="s">
        <v>307</v>
      </c>
      <c r="D251" s="148" t="s">
        <v>662</v>
      </c>
      <c r="E251" s="149"/>
      <c r="F251" s="149"/>
      <c r="G251" s="149"/>
      <c r="H251" s="149"/>
      <c r="I251" s="149"/>
      <c r="J251" s="46" t="s">
        <v>975</v>
      </c>
      <c r="K251" s="78">
        <f>'Stavební rozpočet'!K251</f>
        <v>1</v>
      </c>
      <c r="L251" s="54">
        <f>'Stavební rozpočet'!L251</f>
        <v>0</v>
      </c>
      <c r="M251" s="66">
        <f>K251*L251</f>
        <v>0</v>
      </c>
      <c r="N251" s="17"/>
      <c r="Z251" s="33">
        <f>IF(AQ251="5",BJ251,0)</f>
        <v>0</v>
      </c>
      <c r="AB251" s="33">
        <f>IF(AQ251="1",BH251,0)</f>
        <v>0</v>
      </c>
      <c r="AC251" s="33">
        <f>IF(AQ251="1",BI251,0)</f>
        <v>0</v>
      </c>
      <c r="AD251" s="33">
        <f>IF(AQ251="7",BH251,0)</f>
        <v>0</v>
      </c>
      <c r="AE251" s="33">
        <f>IF(AQ251="7",BI251,0)</f>
        <v>0</v>
      </c>
      <c r="AF251" s="33">
        <f>IF(AQ251="2",BH251,0)</f>
        <v>0</v>
      </c>
      <c r="AG251" s="33">
        <f>IF(AQ251="2",BI251,0)</f>
        <v>0</v>
      </c>
      <c r="AH251" s="33">
        <f>IF(AQ251="0",BJ251,0)</f>
        <v>0</v>
      </c>
      <c r="AI251" s="58" t="s">
        <v>61</v>
      </c>
      <c r="AJ251" s="54">
        <f>IF(AN251=0,M251,0)</f>
        <v>0</v>
      </c>
      <c r="AK251" s="54">
        <f>IF(AN251=15,M251,0)</f>
        <v>0</v>
      </c>
      <c r="AL251" s="54">
        <f>IF(AN251=21,M251,0)</f>
        <v>0</v>
      </c>
      <c r="AN251" s="33">
        <v>21</v>
      </c>
      <c r="AO251" s="33">
        <f>L251*1</f>
        <v>0</v>
      </c>
      <c r="AP251" s="33">
        <f>L251*(1-1)</f>
        <v>0</v>
      </c>
      <c r="AQ251" s="60" t="s">
        <v>86</v>
      </c>
      <c r="AV251" s="33">
        <f>AW251+AX251</f>
        <v>0</v>
      </c>
      <c r="AW251" s="33">
        <f>K251*AO251</f>
        <v>0</v>
      </c>
      <c r="AX251" s="33">
        <f>K251*AP251</f>
        <v>0</v>
      </c>
      <c r="AY251" s="61" t="s">
        <v>1002</v>
      </c>
      <c r="AZ251" s="61" t="s">
        <v>1024</v>
      </c>
      <c r="BA251" s="58" t="s">
        <v>1037</v>
      </c>
      <c r="BC251" s="33">
        <f>AW251+AX251</f>
        <v>0</v>
      </c>
      <c r="BD251" s="33">
        <f>L251/(100-BE251)*100</f>
        <v>0</v>
      </c>
      <c r="BE251" s="33">
        <v>0</v>
      </c>
      <c r="BF251" s="33">
        <f>251</f>
        <v>251</v>
      </c>
      <c r="BH251" s="54">
        <f>K251*AO251</f>
        <v>0</v>
      </c>
      <c r="BI251" s="54">
        <f>K251*AP251</f>
        <v>0</v>
      </c>
      <c r="BJ251" s="54">
        <f>K251*L251</f>
        <v>0</v>
      </c>
      <c r="BK251" s="54" t="s">
        <v>1047</v>
      </c>
      <c r="BL251" s="33">
        <v>721</v>
      </c>
    </row>
    <row r="252" spans="1:14" ht="12.75">
      <c r="A252" s="17"/>
      <c r="D252" s="143" t="s">
        <v>663</v>
      </c>
      <c r="E252" s="144"/>
      <c r="F252" s="144"/>
      <c r="G252" s="144"/>
      <c r="H252" s="144"/>
      <c r="I252" s="144"/>
      <c r="K252" s="75">
        <v>1</v>
      </c>
      <c r="M252" s="14"/>
      <c r="N252" s="17"/>
    </row>
    <row r="253" spans="1:64" ht="12.75">
      <c r="A253" s="39" t="s">
        <v>121</v>
      </c>
      <c r="B253" s="46" t="s">
        <v>61</v>
      </c>
      <c r="C253" s="46" t="s">
        <v>308</v>
      </c>
      <c r="D253" s="148" t="s">
        <v>664</v>
      </c>
      <c r="E253" s="149"/>
      <c r="F253" s="149"/>
      <c r="G253" s="149"/>
      <c r="H253" s="149"/>
      <c r="I253" s="149"/>
      <c r="J253" s="46" t="s">
        <v>975</v>
      </c>
      <c r="K253" s="78">
        <f>'Stavební rozpočet'!K253</f>
        <v>1</v>
      </c>
      <c r="L253" s="54">
        <f>'Stavební rozpočet'!L253</f>
        <v>0</v>
      </c>
      <c r="M253" s="66">
        <f>K253*L253</f>
        <v>0</v>
      </c>
      <c r="N253" s="17"/>
      <c r="Z253" s="33">
        <f>IF(AQ253="5",BJ253,0)</f>
        <v>0</v>
      </c>
      <c r="AB253" s="33">
        <f>IF(AQ253="1",BH253,0)</f>
        <v>0</v>
      </c>
      <c r="AC253" s="33">
        <f>IF(AQ253="1",BI253,0)</f>
        <v>0</v>
      </c>
      <c r="AD253" s="33">
        <f>IF(AQ253="7",BH253,0)</f>
        <v>0</v>
      </c>
      <c r="AE253" s="33">
        <f>IF(AQ253="7",BI253,0)</f>
        <v>0</v>
      </c>
      <c r="AF253" s="33">
        <f>IF(AQ253="2",BH253,0)</f>
        <v>0</v>
      </c>
      <c r="AG253" s="33">
        <f>IF(AQ253="2",BI253,0)</f>
        <v>0</v>
      </c>
      <c r="AH253" s="33">
        <f>IF(AQ253="0",BJ253,0)</f>
        <v>0</v>
      </c>
      <c r="AI253" s="58" t="s">
        <v>61</v>
      </c>
      <c r="AJ253" s="54">
        <f>IF(AN253=0,M253,0)</f>
        <v>0</v>
      </c>
      <c r="AK253" s="54">
        <f>IF(AN253=15,M253,0)</f>
        <v>0</v>
      </c>
      <c r="AL253" s="54">
        <f>IF(AN253=21,M253,0)</f>
        <v>0</v>
      </c>
      <c r="AN253" s="33">
        <v>21</v>
      </c>
      <c r="AO253" s="33">
        <f>L253*1</f>
        <v>0</v>
      </c>
      <c r="AP253" s="33">
        <f>L253*(1-1)</f>
        <v>0</v>
      </c>
      <c r="AQ253" s="60" t="s">
        <v>86</v>
      </c>
      <c r="AV253" s="33">
        <f>AW253+AX253</f>
        <v>0</v>
      </c>
      <c r="AW253" s="33">
        <f>K253*AO253</f>
        <v>0</v>
      </c>
      <c r="AX253" s="33">
        <f>K253*AP253</f>
        <v>0</v>
      </c>
      <c r="AY253" s="61" t="s">
        <v>1002</v>
      </c>
      <c r="AZ253" s="61" t="s">
        <v>1024</v>
      </c>
      <c r="BA253" s="58" t="s">
        <v>1037</v>
      </c>
      <c r="BC253" s="33">
        <f>AW253+AX253</f>
        <v>0</v>
      </c>
      <c r="BD253" s="33">
        <f>L253/(100-BE253)*100</f>
        <v>0</v>
      </c>
      <c r="BE253" s="33">
        <v>0</v>
      </c>
      <c r="BF253" s="33">
        <f>253</f>
        <v>253</v>
      </c>
      <c r="BH253" s="54">
        <f>K253*AO253</f>
        <v>0</v>
      </c>
      <c r="BI253" s="54">
        <f>K253*AP253</f>
        <v>0</v>
      </c>
      <c r="BJ253" s="54">
        <f>K253*L253</f>
        <v>0</v>
      </c>
      <c r="BK253" s="54" t="s">
        <v>1047</v>
      </c>
      <c r="BL253" s="33">
        <v>721</v>
      </c>
    </row>
    <row r="254" spans="1:14" ht="12.75">
      <c r="A254" s="17"/>
      <c r="D254" s="143" t="s">
        <v>663</v>
      </c>
      <c r="E254" s="144"/>
      <c r="F254" s="144"/>
      <c r="G254" s="144"/>
      <c r="H254" s="144"/>
      <c r="I254" s="144"/>
      <c r="K254" s="75">
        <v>1</v>
      </c>
      <c r="M254" s="14"/>
      <c r="N254" s="17"/>
    </row>
    <row r="255" spans="1:64" ht="12.75">
      <c r="A255" s="39" t="s">
        <v>122</v>
      </c>
      <c r="B255" s="46" t="s">
        <v>61</v>
      </c>
      <c r="C255" s="46" t="s">
        <v>309</v>
      </c>
      <c r="D255" s="148" t="s">
        <v>665</v>
      </c>
      <c r="E255" s="149"/>
      <c r="F255" s="149"/>
      <c r="G255" s="149"/>
      <c r="H255" s="149"/>
      <c r="I255" s="149"/>
      <c r="J255" s="46" t="s">
        <v>975</v>
      </c>
      <c r="K255" s="78">
        <f>'Stavební rozpočet'!K255</f>
        <v>4</v>
      </c>
      <c r="L255" s="54">
        <f>'Stavební rozpočet'!L255</f>
        <v>0</v>
      </c>
      <c r="M255" s="66">
        <f>K255*L255</f>
        <v>0</v>
      </c>
      <c r="N255" s="17"/>
      <c r="Z255" s="33">
        <f>IF(AQ255="5",BJ255,0)</f>
        <v>0</v>
      </c>
      <c r="AB255" s="33">
        <f>IF(AQ255="1",BH255,0)</f>
        <v>0</v>
      </c>
      <c r="AC255" s="33">
        <f>IF(AQ255="1",BI255,0)</f>
        <v>0</v>
      </c>
      <c r="AD255" s="33">
        <f>IF(AQ255="7",BH255,0)</f>
        <v>0</v>
      </c>
      <c r="AE255" s="33">
        <f>IF(AQ255="7",BI255,0)</f>
        <v>0</v>
      </c>
      <c r="AF255" s="33">
        <f>IF(AQ255="2",BH255,0)</f>
        <v>0</v>
      </c>
      <c r="AG255" s="33">
        <f>IF(AQ255="2",BI255,0)</f>
        <v>0</v>
      </c>
      <c r="AH255" s="33">
        <f>IF(AQ255="0",BJ255,0)</f>
        <v>0</v>
      </c>
      <c r="AI255" s="58" t="s">
        <v>61</v>
      </c>
      <c r="AJ255" s="54">
        <f>IF(AN255=0,M255,0)</f>
        <v>0</v>
      </c>
      <c r="AK255" s="54">
        <f>IF(AN255=15,M255,0)</f>
        <v>0</v>
      </c>
      <c r="AL255" s="54">
        <f>IF(AN255=21,M255,0)</f>
        <v>0</v>
      </c>
      <c r="AN255" s="33">
        <v>21</v>
      </c>
      <c r="AO255" s="33">
        <f>L255*1</f>
        <v>0</v>
      </c>
      <c r="AP255" s="33">
        <f>L255*(1-1)</f>
        <v>0</v>
      </c>
      <c r="AQ255" s="60" t="s">
        <v>86</v>
      </c>
      <c r="AV255" s="33">
        <f>AW255+AX255</f>
        <v>0</v>
      </c>
      <c r="AW255" s="33">
        <f>K255*AO255</f>
        <v>0</v>
      </c>
      <c r="AX255" s="33">
        <f>K255*AP255</f>
        <v>0</v>
      </c>
      <c r="AY255" s="61" t="s">
        <v>1002</v>
      </c>
      <c r="AZ255" s="61" t="s">
        <v>1024</v>
      </c>
      <c r="BA255" s="58" t="s">
        <v>1037</v>
      </c>
      <c r="BC255" s="33">
        <f>AW255+AX255</f>
        <v>0</v>
      </c>
      <c r="BD255" s="33">
        <f>L255/(100-BE255)*100</f>
        <v>0</v>
      </c>
      <c r="BE255" s="33">
        <v>0</v>
      </c>
      <c r="BF255" s="33">
        <f>255</f>
        <v>255</v>
      </c>
      <c r="BH255" s="54">
        <f>K255*AO255</f>
        <v>0</v>
      </c>
      <c r="BI255" s="54">
        <f>K255*AP255</f>
        <v>0</v>
      </c>
      <c r="BJ255" s="54">
        <f>K255*L255</f>
        <v>0</v>
      </c>
      <c r="BK255" s="54" t="s">
        <v>1047</v>
      </c>
      <c r="BL255" s="33">
        <v>721</v>
      </c>
    </row>
    <row r="256" spans="1:14" ht="12.75">
      <c r="A256" s="17"/>
      <c r="D256" s="143" t="s">
        <v>666</v>
      </c>
      <c r="E256" s="144"/>
      <c r="F256" s="144"/>
      <c r="G256" s="144"/>
      <c r="H256" s="144"/>
      <c r="I256" s="144"/>
      <c r="K256" s="75">
        <v>4</v>
      </c>
      <c r="M256" s="14"/>
      <c r="N256" s="17"/>
    </row>
    <row r="257" spans="1:64" ht="12.75">
      <c r="A257" s="38" t="s">
        <v>123</v>
      </c>
      <c r="B257" s="45" t="s">
        <v>61</v>
      </c>
      <c r="C257" s="45" t="s">
        <v>310</v>
      </c>
      <c r="D257" s="141" t="s">
        <v>667</v>
      </c>
      <c r="E257" s="142"/>
      <c r="F257" s="142"/>
      <c r="G257" s="142"/>
      <c r="H257" s="142"/>
      <c r="I257" s="142"/>
      <c r="J257" s="45" t="s">
        <v>968</v>
      </c>
      <c r="K257" s="74">
        <f>'Stavební rozpočet'!K257</f>
        <v>6</v>
      </c>
      <c r="L257" s="53">
        <f>'Stavební rozpočet'!L257</f>
        <v>0</v>
      </c>
      <c r="M257" s="65">
        <f>K257*L257</f>
        <v>0</v>
      </c>
      <c r="N257" s="17"/>
      <c r="Z257" s="33">
        <f>IF(AQ257="5",BJ257,0)</f>
        <v>0</v>
      </c>
      <c r="AB257" s="33">
        <f>IF(AQ257="1",BH257,0)</f>
        <v>0</v>
      </c>
      <c r="AC257" s="33">
        <f>IF(AQ257="1",BI257,0)</f>
        <v>0</v>
      </c>
      <c r="AD257" s="33">
        <f>IF(AQ257="7",BH257,0)</f>
        <v>0</v>
      </c>
      <c r="AE257" s="33">
        <f>IF(AQ257="7",BI257,0)</f>
        <v>0</v>
      </c>
      <c r="AF257" s="33">
        <f>IF(AQ257="2",BH257,0)</f>
        <v>0</v>
      </c>
      <c r="AG257" s="33">
        <f>IF(AQ257="2",BI257,0)</f>
        <v>0</v>
      </c>
      <c r="AH257" s="33">
        <f>IF(AQ257="0",BJ257,0)</f>
        <v>0</v>
      </c>
      <c r="AI257" s="58" t="s">
        <v>61</v>
      </c>
      <c r="AJ257" s="53">
        <f>IF(AN257=0,M257,0)</f>
        <v>0</v>
      </c>
      <c r="AK257" s="53">
        <f>IF(AN257=15,M257,0)</f>
        <v>0</v>
      </c>
      <c r="AL257" s="53">
        <f>IF(AN257=21,M257,0)</f>
        <v>0</v>
      </c>
      <c r="AN257" s="33">
        <v>21</v>
      </c>
      <c r="AO257" s="33">
        <f>L257*0</f>
        <v>0</v>
      </c>
      <c r="AP257" s="33">
        <f>L257*(1-0)</f>
        <v>0</v>
      </c>
      <c r="AQ257" s="59" t="s">
        <v>86</v>
      </c>
      <c r="AV257" s="33">
        <f>AW257+AX257</f>
        <v>0</v>
      </c>
      <c r="AW257" s="33">
        <f>K257*AO257</f>
        <v>0</v>
      </c>
      <c r="AX257" s="33">
        <f>K257*AP257</f>
        <v>0</v>
      </c>
      <c r="AY257" s="61" t="s">
        <v>1002</v>
      </c>
      <c r="AZ257" s="61" t="s">
        <v>1024</v>
      </c>
      <c r="BA257" s="58" t="s">
        <v>1037</v>
      </c>
      <c r="BC257" s="33">
        <f>AW257+AX257</f>
        <v>0</v>
      </c>
      <c r="BD257" s="33">
        <f>L257/(100-BE257)*100</f>
        <v>0</v>
      </c>
      <c r="BE257" s="33">
        <v>0</v>
      </c>
      <c r="BF257" s="33">
        <f>257</f>
        <v>257</v>
      </c>
      <c r="BH257" s="53">
        <f>K257*AO257</f>
        <v>0</v>
      </c>
      <c r="BI257" s="53">
        <f>K257*AP257</f>
        <v>0</v>
      </c>
      <c r="BJ257" s="53">
        <f>K257*L257</f>
        <v>0</v>
      </c>
      <c r="BK257" s="53" t="s">
        <v>1046</v>
      </c>
      <c r="BL257" s="33">
        <v>721</v>
      </c>
    </row>
    <row r="258" spans="1:14" ht="12.75">
      <c r="A258" s="17"/>
      <c r="D258" s="143" t="s">
        <v>642</v>
      </c>
      <c r="E258" s="144"/>
      <c r="F258" s="144"/>
      <c r="G258" s="144"/>
      <c r="H258" s="144"/>
      <c r="I258" s="144"/>
      <c r="K258" s="75">
        <v>6</v>
      </c>
      <c r="M258" s="14"/>
      <c r="N258" s="17"/>
    </row>
    <row r="259" spans="1:47" ht="12.75">
      <c r="A259" s="37"/>
      <c r="B259" s="44" t="s">
        <v>61</v>
      </c>
      <c r="C259" s="44" t="s">
        <v>166</v>
      </c>
      <c r="D259" s="139" t="s">
        <v>668</v>
      </c>
      <c r="E259" s="140"/>
      <c r="F259" s="140"/>
      <c r="G259" s="140"/>
      <c r="H259" s="140"/>
      <c r="I259" s="140"/>
      <c r="J259" s="50" t="s">
        <v>59</v>
      </c>
      <c r="K259" s="50" t="s">
        <v>59</v>
      </c>
      <c r="L259" s="50" t="s">
        <v>59</v>
      </c>
      <c r="M259" s="64">
        <f>SUM(M260:M326)</f>
        <v>0</v>
      </c>
      <c r="N259" s="17"/>
      <c r="AI259" s="58" t="s">
        <v>61</v>
      </c>
      <c r="AS259" s="68">
        <f>SUM(AJ260:AJ326)</f>
        <v>0</v>
      </c>
      <c r="AT259" s="68">
        <f>SUM(AK260:AK326)</f>
        <v>0</v>
      </c>
      <c r="AU259" s="68">
        <f>SUM(AL260:AL326)</f>
        <v>0</v>
      </c>
    </row>
    <row r="260" spans="1:64" ht="12.75">
      <c r="A260" s="38" t="s">
        <v>124</v>
      </c>
      <c r="B260" s="45" t="s">
        <v>61</v>
      </c>
      <c r="C260" s="45" t="s">
        <v>311</v>
      </c>
      <c r="D260" s="141" t="s">
        <v>669</v>
      </c>
      <c r="E260" s="142"/>
      <c r="F260" s="142"/>
      <c r="G260" s="142"/>
      <c r="H260" s="142"/>
      <c r="I260" s="142"/>
      <c r="J260" s="45" t="s">
        <v>968</v>
      </c>
      <c r="K260" s="74">
        <f>'Stavební rozpočet'!K260</f>
        <v>3</v>
      </c>
      <c r="L260" s="53">
        <f>'Stavební rozpočet'!L260</f>
        <v>0</v>
      </c>
      <c r="M260" s="65">
        <f>K260*L260</f>
        <v>0</v>
      </c>
      <c r="N260" s="17"/>
      <c r="Z260" s="33">
        <f>IF(AQ260="5",BJ260,0)</f>
        <v>0</v>
      </c>
      <c r="AB260" s="33">
        <f>IF(AQ260="1",BH260,0)</f>
        <v>0</v>
      </c>
      <c r="AC260" s="33">
        <f>IF(AQ260="1",BI260,0)</f>
        <v>0</v>
      </c>
      <c r="AD260" s="33">
        <f>IF(AQ260="7",BH260,0)</f>
        <v>0</v>
      </c>
      <c r="AE260" s="33">
        <f>IF(AQ260="7",BI260,0)</f>
        <v>0</v>
      </c>
      <c r="AF260" s="33">
        <f>IF(AQ260="2",BH260,0)</f>
        <v>0</v>
      </c>
      <c r="AG260" s="33">
        <f>IF(AQ260="2",BI260,0)</f>
        <v>0</v>
      </c>
      <c r="AH260" s="33">
        <f>IF(AQ260="0",BJ260,0)</f>
        <v>0</v>
      </c>
      <c r="AI260" s="58" t="s">
        <v>61</v>
      </c>
      <c r="AJ260" s="53">
        <f>IF(AN260=0,M260,0)</f>
        <v>0</v>
      </c>
      <c r="AK260" s="53">
        <f>IF(AN260=15,M260,0)</f>
        <v>0</v>
      </c>
      <c r="AL260" s="53">
        <f>IF(AN260=21,M260,0)</f>
        <v>0</v>
      </c>
      <c r="AN260" s="33">
        <v>21</v>
      </c>
      <c r="AO260" s="33">
        <f>L260*0.00434782608695652</f>
        <v>0</v>
      </c>
      <c r="AP260" s="33">
        <f>L260*(1-0.00434782608695652)</f>
        <v>0</v>
      </c>
      <c r="AQ260" s="59" t="s">
        <v>80</v>
      </c>
      <c r="AV260" s="33">
        <f>AW260+AX260</f>
        <v>0</v>
      </c>
      <c r="AW260" s="33">
        <f>K260*AO260</f>
        <v>0</v>
      </c>
      <c r="AX260" s="33">
        <f>K260*AP260</f>
        <v>0</v>
      </c>
      <c r="AY260" s="61" t="s">
        <v>1003</v>
      </c>
      <c r="AZ260" s="61" t="s">
        <v>1025</v>
      </c>
      <c r="BA260" s="58" t="s">
        <v>1037</v>
      </c>
      <c r="BC260" s="33">
        <f>AW260+AX260</f>
        <v>0</v>
      </c>
      <c r="BD260" s="33">
        <f>L260/(100-BE260)*100</f>
        <v>0</v>
      </c>
      <c r="BE260" s="33">
        <v>0</v>
      </c>
      <c r="BF260" s="33">
        <f>260</f>
        <v>260</v>
      </c>
      <c r="BH260" s="53">
        <f>K260*AO260</f>
        <v>0</v>
      </c>
      <c r="BI260" s="53">
        <f>K260*AP260</f>
        <v>0</v>
      </c>
      <c r="BJ260" s="53">
        <f>K260*L260</f>
        <v>0</v>
      </c>
      <c r="BK260" s="53" t="s">
        <v>1046</v>
      </c>
      <c r="BL260" s="33">
        <v>87</v>
      </c>
    </row>
    <row r="261" spans="1:14" ht="12.75">
      <c r="A261" s="17"/>
      <c r="D261" s="143" t="s">
        <v>645</v>
      </c>
      <c r="E261" s="144"/>
      <c r="F261" s="144"/>
      <c r="G261" s="144"/>
      <c r="H261" s="144"/>
      <c r="I261" s="144"/>
      <c r="K261" s="75">
        <v>3</v>
      </c>
      <c r="M261" s="14"/>
      <c r="N261" s="17"/>
    </row>
    <row r="262" spans="1:64" ht="12.75">
      <c r="A262" s="39" t="s">
        <v>125</v>
      </c>
      <c r="B262" s="46" t="s">
        <v>61</v>
      </c>
      <c r="C262" s="46" t="s">
        <v>312</v>
      </c>
      <c r="D262" s="148" t="s">
        <v>670</v>
      </c>
      <c r="E262" s="149"/>
      <c r="F262" s="149"/>
      <c r="G262" s="149"/>
      <c r="H262" s="149"/>
      <c r="I262" s="149"/>
      <c r="J262" s="46" t="s">
        <v>975</v>
      </c>
      <c r="K262" s="78">
        <f>'Stavební rozpočet'!K262</f>
        <v>3.09</v>
      </c>
      <c r="L262" s="54">
        <f>'Stavební rozpočet'!L262</f>
        <v>0</v>
      </c>
      <c r="M262" s="66">
        <f>K262*L262</f>
        <v>0</v>
      </c>
      <c r="N262" s="17"/>
      <c r="Z262" s="33">
        <f>IF(AQ262="5",BJ262,0)</f>
        <v>0</v>
      </c>
      <c r="AB262" s="33">
        <f>IF(AQ262="1",BH262,0)</f>
        <v>0</v>
      </c>
      <c r="AC262" s="33">
        <f>IF(AQ262="1",BI262,0)</f>
        <v>0</v>
      </c>
      <c r="AD262" s="33">
        <f>IF(AQ262="7",BH262,0)</f>
        <v>0</v>
      </c>
      <c r="AE262" s="33">
        <f>IF(AQ262="7",BI262,0)</f>
        <v>0</v>
      </c>
      <c r="AF262" s="33">
        <f>IF(AQ262="2",BH262,0)</f>
        <v>0</v>
      </c>
      <c r="AG262" s="33">
        <f>IF(AQ262="2",BI262,0)</f>
        <v>0</v>
      </c>
      <c r="AH262" s="33">
        <f>IF(AQ262="0",BJ262,0)</f>
        <v>0</v>
      </c>
      <c r="AI262" s="58" t="s">
        <v>61</v>
      </c>
      <c r="AJ262" s="54">
        <f>IF(AN262=0,M262,0)</f>
        <v>0</v>
      </c>
      <c r="AK262" s="54">
        <f>IF(AN262=15,M262,0)</f>
        <v>0</v>
      </c>
      <c r="AL262" s="54">
        <f>IF(AN262=21,M262,0)</f>
        <v>0</v>
      </c>
      <c r="AN262" s="33">
        <v>21</v>
      </c>
      <c r="AO262" s="33">
        <f>L262*1</f>
        <v>0</v>
      </c>
      <c r="AP262" s="33">
        <f>L262*(1-1)</f>
        <v>0</v>
      </c>
      <c r="AQ262" s="60" t="s">
        <v>80</v>
      </c>
      <c r="AV262" s="33">
        <f>AW262+AX262</f>
        <v>0</v>
      </c>
      <c r="AW262" s="33">
        <f>K262*AO262</f>
        <v>0</v>
      </c>
      <c r="AX262" s="33">
        <f>K262*AP262</f>
        <v>0</v>
      </c>
      <c r="AY262" s="61" t="s">
        <v>1003</v>
      </c>
      <c r="AZ262" s="61" t="s">
        <v>1025</v>
      </c>
      <c r="BA262" s="58" t="s">
        <v>1037</v>
      </c>
      <c r="BC262" s="33">
        <f>AW262+AX262</f>
        <v>0</v>
      </c>
      <c r="BD262" s="33">
        <f>L262/(100-BE262)*100</f>
        <v>0</v>
      </c>
      <c r="BE262" s="33">
        <v>0</v>
      </c>
      <c r="BF262" s="33">
        <f>262</f>
        <v>262</v>
      </c>
      <c r="BH262" s="54">
        <f>K262*AO262</f>
        <v>0</v>
      </c>
      <c r="BI262" s="54">
        <f>K262*AP262</f>
        <v>0</v>
      </c>
      <c r="BJ262" s="54">
        <f>K262*L262</f>
        <v>0</v>
      </c>
      <c r="BK262" s="54" t="s">
        <v>1047</v>
      </c>
      <c r="BL262" s="33">
        <v>87</v>
      </c>
    </row>
    <row r="263" spans="1:14" ht="12.75">
      <c r="A263" s="17"/>
      <c r="D263" s="143" t="s">
        <v>647</v>
      </c>
      <c r="E263" s="144"/>
      <c r="F263" s="144"/>
      <c r="G263" s="144"/>
      <c r="H263" s="144"/>
      <c r="I263" s="144"/>
      <c r="K263" s="75">
        <v>1</v>
      </c>
      <c r="M263" s="14"/>
      <c r="N263" s="17"/>
    </row>
    <row r="264" spans="1:14" ht="12.75">
      <c r="A264" s="17"/>
      <c r="D264" s="143" t="s">
        <v>648</v>
      </c>
      <c r="E264" s="144"/>
      <c r="F264" s="144"/>
      <c r="G264" s="144"/>
      <c r="H264" s="144"/>
      <c r="I264" s="144"/>
      <c r="K264" s="75">
        <v>1</v>
      </c>
      <c r="M264" s="14"/>
      <c r="N264" s="17"/>
    </row>
    <row r="265" spans="1:14" ht="12.75">
      <c r="A265" s="17"/>
      <c r="D265" s="143" t="s">
        <v>649</v>
      </c>
      <c r="E265" s="144"/>
      <c r="F265" s="144"/>
      <c r="G265" s="144"/>
      <c r="H265" s="144"/>
      <c r="I265" s="144"/>
      <c r="K265" s="75">
        <v>1</v>
      </c>
      <c r="M265" s="14"/>
      <c r="N265" s="17"/>
    </row>
    <row r="266" spans="1:14" ht="12.75">
      <c r="A266" s="17"/>
      <c r="D266" s="143" t="s">
        <v>650</v>
      </c>
      <c r="E266" s="144"/>
      <c r="F266" s="144"/>
      <c r="G266" s="144"/>
      <c r="H266" s="144"/>
      <c r="I266" s="144"/>
      <c r="K266" s="75">
        <v>0.09</v>
      </c>
      <c r="M266" s="14"/>
      <c r="N266" s="17"/>
    </row>
    <row r="267" spans="1:64" ht="12.75">
      <c r="A267" s="38" t="s">
        <v>126</v>
      </c>
      <c r="B267" s="45" t="s">
        <v>61</v>
      </c>
      <c r="C267" s="45" t="s">
        <v>313</v>
      </c>
      <c r="D267" s="141" t="s">
        <v>671</v>
      </c>
      <c r="E267" s="142"/>
      <c r="F267" s="142"/>
      <c r="G267" s="142"/>
      <c r="H267" s="142"/>
      <c r="I267" s="142"/>
      <c r="J267" s="45" t="s">
        <v>968</v>
      </c>
      <c r="K267" s="74">
        <f>'Stavební rozpočet'!K267</f>
        <v>142.38</v>
      </c>
      <c r="L267" s="53">
        <f>'Stavební rozpočet'!L267</f>
        <v>0</v>
      </c>
      <c r="M267" s="65">
        <f>K267*L267</f>
        <v>0</v>
      </c>
      <c r="N267" s="17"/>
      <c r="Z267" s="33">
        <f>IF(AQ267="5",BJ267,0)</f>
        <v>0</v>
      </c>
      <c r="AB267" s="33">
        <f>IF(AQ267="1",BH267,0)</f>
        <v>0</v>
      </c>
      <c r="AC267" s="33">
        <f>IF(AQ267="1",BI267,0)</f>
        <v>0</v>
      </c>
      <c r="AD267" s="33">
        <f>IF(AQ267="7",BH267,0)</f>
        <v>0</v>
      </c>
      <c r="AE267" s="33">
        <f>IF(AQ267="7",BI267,0)</f>
        <v>0</v>
      </c>
      <c r="AF267" s="33">
        <f>IF(AQ267="2",BH267,0)</f>
        <v>0</v>
      </c>
      <c r="AG267" s="33">
        <f>IF(AQ267="2",BI267,0)</f>
        <v>0</v>
      </c>
      <c r="AH267" s="33">
        <f>IF(AQ267="0",BJ267,0)</f>
        <v>0</v>
      </c>
      <c r="AI267" s="58" t="s">
        <v>61</v>
      </c>
      <c r="AJ267" s="53">
        <f>IF(AN267=0,M267,0)</f>
        <v>0</v>
      </c>
      <c r="AK267" s="53">
        <f>IF(AN267=15,M267,0)</f>
        <v>0</v>
      </c>
      <c r="AL267" s="53">
        <f>IF(AN267=21,M267,0)</f>
        <v>0</v>
      </c>
      <c r="AN267" s="33">
        <v>21</v>
      </c>
      <c r="AO267" s="33">
        <f>L267*0.00468445906715696</f>
        <v>0</v>
      </c>
      <c r="AP267" s="33">
        <f>L267*(1-0.00468445906715696)</f>
        <v>0</v>
      </c>
      <c r="AQ267" s="59" t="s">
        <v>80</v>
      </c>
      <c r="AV267" s="33">
        <f>AW267+AX267</f>
        <v>0</v>
      </c>
      <c r="AW267" s="33">
        <f>K267*AO267</f>
        <v>0</v>
      </c>
      <c r="AX267" s="33">
        <f>K267*AP267</f>
        <v>0</v>
      </c>
      <c r="AY267" s="61" t="s">
        <v>1003</v>
      </c>
      <c r="AZ267" s="61" t="s">
        <v>1025</v>
      </c>
      <c r="BA267" s="58" t="s">
        <v>1037</v>
      </c>
      <c r="BC267" s="33">
        <f>AW267+AX267</f>
        <v>0</v>
      </c>
      <c r="BD267" s="33">
        <f>L267/(100-BE267)*100</f>
        <v>0</v>
      </c>
      <c r="BE267" s="33">
        <v>0</v>
      </c>
      <c r="BF267" s="33">
        <f>267</f>
        <v>267</v>
      </c>
      <c r="BH267" s="53">
        <f>K267*AO267</f>
        <v>0</v>
      </c>
      <c r="BI267" s="53">
        <f>K267*AP267</f>
        <v>0</v>
      </c>
      <c r="BJ267" s="53">
        <f>K267*L267</f>
        <v>0</v>
      </c>
      <c r="BK267" s="53" t="s">
        <v>1046</v>
      </c>
      <c r="BL267" s="33">
        <v>87</v>
      </c>
    </row>
    <row r="268" spans="1:14" ht="12.75">
      <c r="A268" s="17"/>
      <c r="D268" s="143" t="s">
        <v>611</v>
      </c>
      <c r="E268" s="144"/>
      <c r="F268" s="144"/>
      <c r="G268" s="144"/>
      <c r="H268" s="144"/>
      <c r="I268" s="144"/>
      <c r="K268" s="75">
        <v>47.57</v>
      </c>
      <c r="M268" s="14"/>
      <c r="N268" s="17"/>
    </row>
    <row r="269" spans="1:14" ht="12.75">
      <c r="A269" s="17"/>
      <c r="D269" s="143" t="s">
        <v>612</v>
      </c>
      <c r="E269" s="144"/>
      <c r="F269" s="144"/>
      <c r="G269" s="144"/>
      <c r="H269" s="144"/>
      <c r="I269" s="144"/>
      <c r="K269" s="75">
        <v>94.81</v>
      </c>
      <c r="M269" s="14"/>
      <c r="N269" s="17"/>
    </row>
    <row r="270" spans="1:64" ht="12.75">
      <c r="A270" s="39" t="s">
        <v>127</v>
      </c>
      <c r="B270" s="46" t="s">
        <v>61</v>
      </c>
      <c r="C270" s="46" t="s">
        <v>314</v>
      </c>
      <c r="D270" s="148" t="s">
        <v>672</v>
      </c>
      <c r="E270" s="149"/>
      <c r="F270" s="149"/>
      <c r="G270" s="149"/>
      <c r="H270" s="149"/>
      <c r="I270" s="149"/>
      <c r="J270" s="46" t="s">
        <v>975</v>
      </c>
      <c r="K270" s="78">
        <f>'Stavební rozpočet'!K270</f>
        <v>11</v>
      </c>
      <c r="L270" s="54">
        <f>'Stavební rozpočet'!L270</f>
        <v>0</v>
      </c>
      <c r="M270" s="66">
        <f>K270*L270</f>
        <v>0</v>
      </c>
      <c r="N270" s="17"/>
      <c r="Z270" s="33">
        <f>IF(AQ270="5",BJ270,0)</f>
        <v>0</v>
      </c>
      <c r="AB270" s="33">
        <f>IF(AQ270="1",BH270,0)</f>
        <v>0</v>
      </c>
      <c r="AC270" s="33">
        <f>IF(AQ270="1",BI270,0)</f>
        <v>0</v>
      </c>
      <c r="AD270" s="33">
        <f>IF(AQ270="7",BH270,0)</f>
        <v>0</v>
      </c>
      <c r="AE270" s="33">
        <f>IF(AQ270="7",BI270,0)</f>
        <v>0</v>
      </c>
      <c r="AF270" s="33">
        <f>IF(AQ270="2",BH270,0)</f>
        <v>0</v>
      </c>
      <c r="AG270" s="33">
        <f>IF(AQ270="2",BI270,0)</f>
        <v>0</v>
      </c>
      <c r="AH270" s="33">
        <f>IF(AQ270="0",BJ270,0)</f>
        <v>0</v>
      </c>
      <c r="AI270" s="58" t="s">
        <v>61</v>
      </c>
      <c r="AJ270" s="54">
        <f>IF(AN270=0,M270,0)</f>
        <v>0</v>
      </c>
      <c r="AK270" s="54">
        <f>IF(AN270=15,M270,0)</f>
        <v>0</v>
      </c>
      <c r="AL270" s="54">
        <f>IF(AN270=21,M270,0)</f>
        <v>0</v>
      </c>
      <c r="AN270" s="33">
        <v>21</v>
      </c>
      <c r="AO270" s="33">
        <f>L270*1</f>
        <v>0</v>
      </c>
      <c r="AP270" s="33">
        <f>L270*(1-1)</f>
        <v>0</v>
      </c>
      <c r="AQ270" s="60" t="s">
        <v>80</v>
      </c>
      <c r="AV270" s="33">
        <f>AW270+AX270</f>
        <v>0</v>
      </c>
      <c r="AW270" s="33">
        <f>K270*AO270</f>
        <v>0</v>
      </c>
      <c r="AX270" s="33">
        <f>K270*AP270</f>
        <v>0</v>
      </c>
      <c r="AY270" s="61" t="s">
        <v>1003</v>
      </c>
      <c r="AZ270" s="61" t="s">
        <v>1025</v>
      </c>
      <c r="BA270" s="58" t="s">
        <v>1037</v>
      </c>
      <c r="BC270" s="33">
        <f>AW270+AX270</f>
        <v>0</v>
      </c>
      <c r="BD270" s="33">
        <f>L270/(100-BE270)*100</f>
        <v>0</v>
      </c>
      <c r="BE270" s="33">
        <v>0</v>
      </c>
      <c r="BF270" s="33">
        <f>270</f>
        <v>270</v>
      </c>
      <c r="BH270" s="54">
        <f>K270*AO270</f>
        <v>0</v>
      </c>
      <c r="BI270" s="54">
        <f>K270*AP270</f>
        <v>0</v>
      </c>
      <c r="BJ270" s="54">
        <f>K270*L270</f>
        <v>0</v>
      </c>
      <c r="BK270" s="54" t="s">
        <v>1047</v>
      </c>
      <c r="BL270" s="33">
        <v>87</v>
      </c>
    </row>
    <row r="271" spans="1:14" ht="12.75">
      <c r="A271" s="17"/>
      <c r="D271" s="143" t="s">
        <v>436</v>
      </c>
      <c r="E271" s="144"/>
      <c r="F271" s="144"/>
      <c r="G271" s="144"/>
      <c r="H271" s="144"/>
      <c r="I271" s="144"/>
      <c r="K271" s="75">
        <v>2</v>
      </c>
      <c r="M271" s="14"/>
      <c r="N271" s="17"/>
    </row>
    <row r="272" spans="1:14" ht="12.75">
      <c r="A272" s="17"/>
      <c r="D272" s="143" t="s">
        <v>673</v>
      </c>
      <c r="E272" s="144"/>
      <c r="F272" s="144"/>
      <c r="G272" s="144"/>
      <c r="H272" s="144"/>
      <c r="I272" s="144"/>
      <c r="K272" s="75">
        <v>1</v>
      </c>
      <c r="M272" s="14"/>
      <c r="N272" s="17"/>
    </row>
    <row r="273" spans="1:14" ht="12.75">
      <c r="A273" s="17"/>
      <c r="D273" s="143" t="s">
        <v>674</v>
      </c>
      <c r="E273" s="144"/>
      <c r="F273" s="144"/>
      <c r="G273" s="144"/>
      <c r="H273" s="144"/>
      <c r="I273" s="144"/>
      <c r="K273" s="75">
        <v>1</v>
      </c>
      <c r="M273" s="14"/>
      <c r="N273" s="17"/>
    </row>
    <row r="274" spans="1:14" ht="12.75">
      <c r="A274" s="17"/>
      <c r="D274" s="143" t="s">
        <v>439</v>
      </c>
      <c r="E274" s="144"/>
      <c r="F274" s="144"/>
      <c r="G274" s="144"/>
      <c r="H274" s="144"/>
      <c r="I274" s="144"/>
      <c r="K274" s="75">
        <v>2</v>
      </c>
      <c r="M274" s="14"/>
      <c r="N274" s="17"/>
    </row>
    <row r="275" spans="1:14" ht="12.75">
      <c r="A275" s="17"/>
      <c r="D275" s="143" t="s">
        <v>675</v>
      </c>
      <c r="E275" s="144"/>
      <c r="F275" s="144"/>
      <c r="G275" s="144"/>
      <c r="H275" s="144"/>
      <c r="I275" s="144"/>
      <c r="K275" s="75">
        <v>1</v>
      </c>
      <c r="M275" s="14"/>
      <c r="N275" s="17"/>
    </row>
    <row r="276" spans="1:14" ht="12.75">
      <c r="A276" s="17"/>
      <c r="D276" s="143" t="s">
        <v>676</v>
      </c>
      <c r="E276" s="144"/>
      <c r="F276" s="144"/>
      <c r="G276" s="144"/>
      <c r="H276" s="144"/>
      <c r="I276" s="144"/>
      <c r="K276" s="75">
        <v>2</v>
      </c>
      <c r="M276" s="14"/>
      <c r="N276" s="17"/>
    </row>
    <row r="277" spans="1:14" ht="12.75">
      <c r="A277" s="17"/>
      <c r="D277" s="143" t="s">
        <v>677</v>
      </c>
      <c r="E277" s="144"/>
      <c r="F277" s="144"/>
      <c r="G277" s="144"/>
      <c r="H277" s="144"/>
      <c r="I277" s="144"/>
      <c r="K277" s="75">
        <v>1</v>
      </c>
      <c r="M277" s="14"/>
      <c r="N277" s="17"/>
    </row>
    <row r="278" spans="1:14" ht="12.75">
      <c r="A278" s="17"/>
      <c r="D278" s="143" t="s">
        <v>678</v>
      </c>
      <c r="E278" s="144"/>
      <c r="F278" s="144"/>
      <c r="G278" s="144"/>
      <c r="H278" s="144"/>
      <c r="I278" s="144"/>
      <c r="K278" s="75">
        <v>1</v>
      </c>
      <c r="M278" s="14"/>
      <c r="N278" s="17"/>
    </row>
    <row r="279" spans="1:64" ht="12.75">
      <c r="A279" s="39" t="s">
        <v>128</v>
      </c>
      <c r="B279" s="46" t="s">
        <v>61</v>
      </c>
      <c r="C279" s="46" t="s">
        <v>302</v>
      </c>
      <c r="D279" s="148" t="s">
        <v>654</v>
      </c>
      <c r="E279" s="149"/>
      <c r="F279" s="149"/>
      <c r="G279" s="149"/>
      <c r="H279" s="149"/>
      <c r="I279" s="149"/>
      <c r="J279" s="46" t="s">
        <v>975</v>
      </c>
      <c r="K279" s="78">
        <f>'Stavební rozpočet'!K279</f>
        <v>7</v>
      </c>
      <c r="L279" s="54">
        <f>'Stavební rozpočet'!L279</f>
        <v>0</v>
      </c>
      <c r="M279" s="66">
        <f>K279*L279</f>
        <v>0</v>
      </c>
      <c r="N279" s="17"/>
      <c r="Z279" s="33">
        <f>IF(AQ279="5",BJ279,0)</f>
        <v>0</v>
      </c>
      <c r="AB279" s="33">
        <f>IF(AQ279="1",BH279,0)</f>
        <v>0</v>
      </c>
      <c r="AC279" s="33">
        <f>IF(AQ279="1",BI279,0)</f>
        <v>0</v>
      </c>
      <c r="AD279" s="33">
        <f>IF(AQ279="7",BH279,0)</f>
        <v>0</v>
      </c>
      <c r="AE279" s="33">
        <f>IF(AQ279="7",BI279,0)</f>
        <v>0</v>
      </c>
      <c r="AF279" s="33">
        <f>IF(AQ279="2",BH279,0)</f>
        <v>0</v>
      </c>
      <c r="AG279" s="33">
        <f>IF(AQ279="2",BI279,0)</f>
        <v>0</v>
      </c>
      <c r="AH279" s="33">
        <f>IF(AQ279="0",BJ279,0)</f>
        <v>0</v>
      </c>
      <c r="AI279" s="58" t="s">
        <v>61</v>
      </c>
      <c r="AJ279" s="54">
        <f>IF(AN279=0,M279,0)</f>
        <v>0</v>
      </c>
      <c r="AK279" s="54">
        <f>IF(AN279=15,M279,0)</f>
        <v>0</v>
      </c>
      <c r="AL279" s="54">
        <f>IF(AN279=21,M279,0)</f>
        <v>0</v>
      </c>
      <c r="AN279" s="33">
        <v>21</v>
      </c>
      <c r="AO279" s="33">
        <f>L279*1</f>
        <v>0</v>
      </c>
      <c r="AP279" s="33">
        <f>L279*(1-1)</f>
        <v>0</v>
      </c>
      <c r="AQ279" s="60" t="s">
        <v>80</v>
      </c>
      <c r="AV279" s="33">
        <f>AW279+AX279</f>
        <v>0</v>
      </c>
      <c r="AW279" s="33">
        <f>K279*AO279</f>
        <v>0</v>
      </c>
      <c r="AX279" s="33">
        <f>K279*AP279</f>
        <v>0</v>
      </c>
      <c r="AY279" s="61" t="s">
        <v>1003</v>
      </c>
      <c r="AZ279" s="61" t="s">
        <v>1025</v>
      </c>
      <c r="BA279" s="58" t="s">
        <v>1037</v>
      </c>
      <c r="BC279" s="33">
        <f>AW279+AX279</f>
        <v>0</v>
      </c>
      <c r="BD279" s="33">
        <f>L279/(100-BE279)*100</f>
        <v>0</v>
      </c>
      <c r="BE279" s="33">
        <v>0</v>
      </c>
      <c r="BF279" s="33">
        <f>279</f>
        <v>279</v>
      </c>
      <c r="BH279" s="54">
        <f>K279*AO279</f>
        <v>0</v>
      </c>
      <c r="BI279" s="54">
        <f>K279*AP279</f>
        <v>0</v>
      </c>
      <c r="BJ279" s="54">
        <f>K279*L279</f>
        <v>0</v>
      </c>
      <c r="BK279" s="54" t="s">
        <v>1047</v>
      </c>
      <c r="BL279" s="33">
        <v>87</v>
      </c>
    </row>
    <row r="280" spans="1:14" ht="12.75">
      <c r="A280" s="17"/>
      <c r="D280" s="143" t="s">
        <v>673</v>
      </c>
      <c r="E280" s="144"/>
      <c r="F280" s="144"/>
      <c r="G280" s="144"/>
      <c r="H280" s="144"/>
      <c r="I280" s="144"/>
      <c r="K280" s="75">
        <v>1</v>
      </c>
      <c r="M280" s="14"/>
      <c r="N280" s="17"/>
    </row>
    <row r="281" spans="1:14" ht="12.75">
      <c r="A281" s="17"/>
      <c r="D281" s="143" t="s">
        <v>679</v>
      </c>
      <c r="E281" s="144"/>
      <c r="F281" s="144"/>
      <c r="G281" s="144"/>
      <c r="H281" s="144"/>
      <c r="I281" s="144"/>
      <c r="K281" s="75">
        <v>1</v>
      </c>
      <c r="M281" s="14"/>
      <c r="N281" s="17"/>
    </row>
    <row r="282" spans="1:14" ht="12.75">
      <c r="A282" s="17"/>
      <c r="D282" s="143" t="s">
        <v>438</v>
      </c>
      <c r="E282" s="144"/>
      <c r="F282" s="144"/>
      <c r="G282" s="144"/>
      <c r="H282" s="144"/>
      <c r="I282" s="144"/>
      <c r="K282" s="75">
        <v>2</v>
      </c>
      <c r="M282" s="14"/>
      <c r="N282" s="17"/>
    </row>
    <row r="283" spans="1:14" ht="12.75">
      <c r="A283" s="17"/>
      <c r="D283" s="143" t="s">
        <v>675</v>
      </c>
      <c r="E283" s="144"/>
      <c r="F283" s="144"/>
      <c r="G283" s="144"/>
      <c r="H283" s="144"/>
      <c r="I283" s="144"/>
      <c r="K283" s="75">
        <v>1</v>
      </c>
      <c r="M283" s="14"/>
      <c r="N283" s="17"/>
    </row>
    <row r="284" spans="1:14" ht="12.75">
      <c r="A284" s="17"/>
      <c r="D284" s="143" t="s">
        <v>649</v>
      </c>
      <c r="E284" s="144"/>
      <c r="F284" s="144"/>
      <c r="G284" s="144"/>
      <c r="H284" s="144"/>
      <c r="I284" s="144"/>
      <c r="K284" s="75">
        <v>1</v>
      </c>
      <c r="M284" s="14"/>
      <c r="N284" s="17"/>
    </row>
    <row r="285" spans="1:14" ht="12.75">
      <c r="A285" s="17"/>
      <c r="D285" s="143" t="s">
        <v>680</v>
      </c>
      <c r="E285" s="144"/>
      <c r="F285" s="144"/>
      <c r="G285" s="144"/>
      <c r="H285" s="144"/>
      <c r="I285" s="144"/>
      <c r="K285" s="75">
        <v>1</v>
      </c>
      <c r="M285" s="14"/>
      <c r="N285" s="17"/>
    </row>
    <row r="286" spans="1:64" ht="12.75">
      <c r="A286" s="39" t="s">
        <v>129</v>
      </c>
      <c r="B286" s="46" t="s">
        <v>61</v>
      </c>
      <c r="C286" s="46" t="s">
        <v>315</v>
      </c>
      <c r="D286" s="148" t="s">
        <v>681</v>
      </c>
      <c r="E286" s="149"/>
      <c r="F286" s="149"/>
      <c r="G286" s="149"/>
      <c r="H286" s="149"/>
      <c r="I286" s="149"/>
      <c r="J286" s="46" t="s">
        <v>975</v>
      </c>
      <c r="K286" s="78">
        <f>'Stavební rozpočet'!K286</f>
        <v>3</v>
      </c>
      <c r="L286" s="54">
        <f>'Stavební rozpočet'!L286</f>
        <v>0</v>
      </c>
      <c r="M286" s="66">
        <f>K286*L286</f>
        <v>0</v>
      </c>
      <c r="N286" s="17"/>
      <c r="Z286" s="33">
        <f>IF(AQ286="5",BJ286,0)</f>
        <v>0</v>
      </c>
      <c r="AB286" s="33">
        <f>IF(AQ286="1",BH286,0)</f>
        <v>0</v>
      </c>
      <c r="AC286" s="33">
        <f>IF(AQ286="1",BI286,0)</f>
        <v>0</v>
      </c>
      <c r="AD286" s="33">
        <f>IF(AQ286="7",BH286,0)</f>
        <v>0</v>
      </c>
      <c r="AE286" s="33">
        <f>IF(AQ286="7",BI286,0)</f>
        <v>0</v>
      </c>
      <c r="AF286" s="33">
        <f>IF(AQ286="2",BH286,0)</f>
        <v>0</v>
      </c>
      <c r="AG286" s="33">
        <f>IF(AQ286="2",BI286,0)</f>
        <v>0</v>
      </c>
      <c r="AH286" s="33">
        <f>IF(AQ286="0",BJ286,0)</f>
        <v>0</v>
      </c>
      <c r="AI286" s="58" t="s">
        <v>61</v>
      </c>
      <c r="AJ286" s="54">
        <f>IF(AN286=0,M286,0)</f>
        <v>0</v>
      </c>
      <c r="AK286" s="54">
        <f>IF(AN286=15,M286,0)</f>
        <v>0</v>
      </c>
      <c r="AL286" s="54">
        <f>IF(AN286=21,M286,0)</f>
        <v>0</v>
      </c>
      <c r="AN286" s="33">
        <v>21</v>
      </c>
      <c r="AO286" s="33">
        <f>L286*1</f>
        <v>0</v>
      </c>
      <c r="AP286" s="33">
        <f>L286*(1-1)</f>
        <v>0</v>
      </c>
      <c r="AQ286" s="60" t="s">
        <v>80</v>
      </c>
      <c r="AV286" s="33">
        <f>AW286+AX286</f>
        <v>0</v>
      </c>
      <c r="AW286" s="33">
        <f>K286*AO286</f>
        <v>0</v>
      </c>
      <c r="AX286" s="33">
        <f>K286*AP286</f>
        <v>0</v>
      </c>
      <c r="AY286" s="61" t="s">
        <v>1003</v>
      </c>
      <c r="AZ286" s="61" t="s">
        <v>1025</v>
      </c>
      <c r="BA286" s="58" t="s">
        <v>1037</v>
      </c>
      <c r="BC286" s="33">
        <f>AW286+AX286</f>
        <v>0</v>
      </c>
      <c r="BD286" s="33">
        <f>L286/(100-BE286)*100</f>
        <v>0</v>
      </c>
      <c r="BE286" s="33">
        <v>0</v>
      </c>
      <c r="BF286" s="33">
        <f>286</f>
        <v>286</v>
      </c>
      <c r="BH286" s="54">
        <f>K286*AO286</f>
        <v>0</v>
      </c>
      <c r="BI286" s="54">
        <f>K286*AP286</f>
        <v>0</v>
      </c>
      <c r="BJ286" s="54">
        <f>K286*L286</f>
        <v>0</v>
      </c>
      <c r="BK286" s="54" t="s">
        <v>1047</v>
      </c>
      <c r="BL286" s="33">
        <v>87</v>
      </c>
    </row>
    <row r="287" spans="1:14" ht="12.75">
      <c r="A287" s="17"/>
      <c r="D287" s="143" t="s">
        <v>436</v>
      </c>
      <c r="E287" s="144"/>
      <c r="F287" s="144"/>
      <c r="G287" s="144"/>
      <c r="H287" s="144"/>
      <c r="I287" s="144"/>
      <c r="K287" s="75">
        <v>2</v>
      </c>
      <c r="M287" s="14"/>
      <c r="N287" s="17"/>
    </row>
    <row r="288" spans="1:14" ht="12.75">
      <c r="A288" s="17"/>
      <c r="D288" s="143" t="s">
        <v>679</v>
      </c>
      <c r="E288" s="144"/>
      <c r="F288" s="144"/>
      <c r="G288" s="144"/>
      <c r="H288" s="144"/>
      <c r="I288" s="144"/>
      <c r="K288" s="75">
        <v>1</v>
      </c>
      <c r="M288" s="14"/>
      <c r="N288" s="17"/>
    </row>
    <row r="289" spans="1:64" ht="12.75">
      <c r="A289" s="38" t="s">
        <v>130</v>
      </c>
      <c r="B289" s="45" t="s">
        <v>61</v>
      </c>
      <c r="C289" s="45" t="s">
        <v>316</v>
      </c>
      <c r="D289" s="141" t="s">
        <v>682</v>
      </c>
      <c r="E289" s="142"/>
      <c r="F289" s="142"/>
      <c r="G289" s="142"/>
      <c r="H289" s="142"/>
      <c r="I289" s="142"/>
      <c r="J289" s="45" t="s">
        <v>968</v>
      </c>
      <c r="K289" s="74">
        <f>'Stavební rozpočet'!K289</f>
        <v>29.18</v>
      </c>
      <c r="L289" s="53">
        <f>'Stavební rozpočet'!L289</f>
        <v>0</v>
      </c>
      <c r="M289" s="65">
        <f>K289*L289</f>
        <v>0</v>
      </c>
      <c r="N289" s="17"/>
      <c r="Z289" s="33">
        <f>IF(AQ289="5",BJ289,0)</f>
        <v>0</v>
      </c>
      <c r="AB289" s="33">
        <f>IF(AQ289="1",BH289,0)</f>
        <v>0</v>
      </c>
      <c r="AC289" s="33">
        <f>IF(AQ289="1",BI289,0)</f>
        <v>0</v>
      </c>
      <c r="AD289" s="33">
        <f>IF(AQ289="7",BH289,0)</f>
        <v>0</v>
      </c>
      <c r="AE289" s="33">
        <f>IF(AQ289="7",BI289,0)</f>
        <v>0</v>
      </c>
      <c r="AF289" s="33">
        <f>IF(AQ289="2",BH289,0)</f>
        <v>0</v>
      </c>
      <c r="AG289" s="33">
        <f>IF(AQ289="2",BI289,0)</f>
        <v>0</v>
      </c>
      <c r="AH289" s="33">
        <f>IF(AQ289="0",BJ289,0)</f>
        <v>0</v>
      </c>
      <c r="AI289" s="58" t="s">
        <v>61</v>
      </c>
      <c r="AJ289" s="53">
        <f>IF(AN289=0,M289,0)</f>
        <v>0</v>
      </c>
      <c r="AK289" s="53">
        <f>IF(AN289=15,M289,0)</f>
        <v>0</v>
      </c>
      <c r="AL289" s="53">
        <f>IF(AN289=21,M289,0)</f>
        <v>0</v>
      </c>
      <c r="AN289" s="33">
        <v>21</v>
      </c>
      <c r="AO289" s="33">
        <f>L289*0.00533065400073073</f>
        <v>0</v>
      </c>
      <c r="AP289" s="33">
        <f>L289*(1-0.00533065400073073)</f>
        <v>0</v>
      </c>
      <c r="AQ289" s="59" t="s">
        <v>80</v>
      </c>
      <c r="AV289" s="33">
        <f>AW289+AX289</f>
        <v>0</v>
      </c>
      <c r="AW289" s="33">
        <f>K289*AO289</f>
        <v>0</v>
      </c>
      <c r="AX289" s="33">
        <f>K289*AP289</f>
        <v>0</v>
      </c>
      <c r="AY289" s="61" t="s">
        <v>1003</v>
      </c>
      <c r="AZ289" s="61" t="s">
        <v>1025</v>
      </c>
      <c r="BA289" s="58" t="s">
        <v>1037</v>
      </c>
      <c r="BC289" s="33">
        <f>AW289+AX289</f>
        <v>0</v>
      </c>
      <c r="BD289" s="33">
        <f>L289/(100-BE289)*100</f>
        <v>0</v>
      </c>
      <c r="BE289" s="33">
        <v>0</v>
      </c>
      <c r="BF289" s="33">
        <f>289</f>
        <v>289</v>
      </c>
      <c r="BH289" s="53">
        <f>K289*AO289</f>
        <v>0</v>
      </c>
      <c r="BI289" s="53">
        <f>K289*AP289</f>
        <v>0</v>
      </c>
      <c r="BJ289" s="53">
        <f>K289*L289</f>
        <v>0</v>
      </c>
      <c r="BK289" s="53" t="s">
        <v>1046</v>
      </c>
      <c r="BL289" s="33">
        <v>87</v>
      </c>
    </row>
    <row r="290" spans="1:14" ht="12.75">
      <c r="A290" s="17"/>
      <c r="D290" s="143" t="s">
        <v>613</v>
      </c>
      <c r="E290" s="144"/>
      <c r="F290" s="144"/>
      <c r="G290" s="144"/>
      <c r="H290" s="144"/>
      <c r="I290" s="144"/>
      <c r="K290" s="75">
        <v>22.18</v>
      </c>
      <c r="M290" s="14"/>
      <c r="N290" s="17"/>
    </row>
    <row r="291" spans="1:14" ht="12.75">
      <c r="A291" s="17"/>
      <c r="D291" s="143" t="s">
        <v>683</v>
      </c>
      <c r="E291" s="144"/>
      <c r="F291" s="144"/>
      <c r="G291" s="144"/>
      <c r="H291" s="144"/>
      <c r="I291" s="144"/>
      <c r="K291" s="75">
        <v>7</v>
      </c>
      <c r="M291" s="14"/>
      <c r="N291" s="17"/>
    </row>
    <row r="292" spans="1:64" ht="12.75">
      <c r="A292" s="39" t="s">
        <v>131</v>
      </c>
      <c r="B292" s="46" t="s">
        <v>61</v>
      </c>
      <c r="C292" s="46" t="s">
        <v>317</v>
      </c>
      <c r="D292" s="148" t="s">
        <v>684</v>
      </c>
      <c r="E292" s="149"/>
      <c r="F292" s="149"/>
      <c r="G292" s="149"/>
      <c r="H292" s="149"/>
      <c r="I292" s="149"/>
      <c r="J292" s="46" t="s">
        <v>975</v>
      </c>
      <c r="K292" s="78">
        <f>'Stavební rozpočet'!K292</f>
        <v>3</v>
      </c>
      <c r="L292" s="54">
        <f>'Stavební rozpočet'!L292</f>
        <v>0</v>
      </c>
      <c r="M292" s="66">
        <f>K292*L292</f>
        <v>0</v>
      </c>
      <c r="N292" s="17"/>
      <c r="Z292" s="33">
        <f>IF(AQ292="5",BJ292,0)</f>
        <v>0</v>
      </c>
      <c r="AB292" s="33">
        <f>IF(AQ292="1",BH292,0)</f>
        <v>0</v>
      </c>
      <c r="AC292" s="33">
        <f>IF(AQ292="1",BI292,0)</f>
        <v>0</v>
      </c>
      <c r="AD292" s="33">
        <f>IF(AQ292="7",BH292,0)</f>
        <v>0</v>
      </c>
      <c r="AE292" s="33">
        <f>IF(AQ292="7",BI292,0)</f>
        <v>0</v>
      </c>
      <c r="AF292" s="33">
        <f>IF(AQ292="2",BH292,0)</f>
        <v>0</v>
      </c>
      <c r="AG292" s="33">
        <f>IF(AQ292="2",BI292,0)</f>
        <v>0</v>
      </c>
      <c r="AH292" s="33">
        <f>IF(AQ292="0",BJ292,0)</f>
        <v>0</v>
      </c>
      <c r="AI292" s="58" t="s">
        <v>61</v>
      </c>
      <c r="AJ292" s="54">
        <f>IF(AN292=0,M292,0)</f>
        <v>0</v>
      </c>
      <c r="AK292" s="54">
        <f>IF(AN292=15,M292,0)</f>
        <v>0</v>
      </c>
      <c r="AL292" s="54">
        <f>IF(AN292=21,M292,0)</f>
        <v>0</v>
      </c>
      <c r="AN292" s="33">
        <v>21</v>
      </c>
      <c r="AO292" s="33">
        <f>L292*1</f>
        <v>0</v>
      </c>
      <c r="AP292" s="33">
        <f>L292*(1-1)</f>
        <v>0</v>
      </c>
      <c r="AQ292" s="60" t="s">
        <v>80</v>
      </c>
      <c r="AV292" s="33">
        <f>AW292+AX292</f>
        <v>0</v>
      </c>
      <c r="AW292" s="33">
        <f>K292*AO292</f>
        <v>0</v>
      </c>
      <c r="AX292" s="33">
        <f>K292*AP292</f>
        <v>0</v>
      </c>
      <c r="AY292" s="61" t="s">
        <v>1003</v>
      </c>
      <c r="AZ292" s="61" t="s">
        <v>1025</v>
      </c>
      <c r="BA292" s="58" t="s">
        <v>1037</v>
      </c>
      <c r="BC292" s="33">
        <f>AW292+AX292</f>
        <v>0</v>
      </c>
      <c r="BD292" s="33">
        <f>L292/(100-BE292)*100</f>
        <v>0</v>
      </c>
      <c r="BE292" s="33">
        <v>0</v>
      </c>
      <c r="BF292" s="33">
        <f>292</f>
        <v>292</v>
      </c>
      <c r="BH292" s="54">
        <f>K292*AO292</f>
        <v>0</v>
      </c>
      <c r="BI292" s="54">
        <f>K292*AP292</f>
        <v>0</v>
      </c>
      <c r="BJ292" s="54">
        <f>K292*L292</f>
        <v>0</v>
      </c>
      <c r="BK292" s="54" t="s">
        <v>1047</v>
      </c>
      <c r="BL292" s="33">
        <v>87</v>
      </c>
    </row>
    <row r="293" spans="1:14" ht="12.75">
      <c r="A293" s="17"/>
      <c r="D293" s="143" t="s">
        <v>685</v>
      </c>
      <c r="E293" s="144"/>
      <c r="F293" s="144"/>
      <c r="G293" s="144"/>
      <c r="H293" s="144"/>
      <c r="I293" s="144"/>
      <c r="K293" s="75">
        <v>1</v>
      </c>
      <c r="M293" s="14"/>
      <c r="N293" s="17"/>
    </row>
    <row r="294" spans="1:14" ht="12.75">
      <c r="A294" s="17"/>
      <c r="D294" s="143" t="s">
        <v>679</v>
      </c>
      <c r="E294" s="144"/>
      <c r="F294" s="144"/>
      <c r="G294" s="144"/>
      <c r="H294" s="144"/>
      <c r="I294" s="144"/>
      <c r="K294" s="75">
        <v>1</v>
      </c>
      <c r="M294" s="14"/>
      <c r="N294" s="17"/>
    </row>
    <row r="295" spans="1:14" ht="12.75">
      <c r="A295" s="17"/>
      <c r="D295" s="143" t="s">
        <v>686</v>
      </c>
      <c r="E295" s="144"/>
      <c r="F295" s="144"/>
      <c r="G295" s="144"/>
      <c r="H295" s="144"/>
      <c r="I295" s="144"/>
      <c r="K295" s="75">
        <v>1</v>
      </c>
      <c r="M295" s="14"/>
      <c r="N295" s="17"/>
    </row>
    <row r="296" spans="1:64" ht="12.75">
      <c r="A296" s="39" t="s">
        <v>132</v>
      </c>
      <c r="B296" s="46" t="s">
        <v>61</v>
      </c>
      <c r="C296" s="46" t="s">
        <v>307</v>
      </c>
      <c r="D296" s="148" t="s">
        <v>662</v>
      </c>
      <c r="E296" s="149"/>
      <c r="F296" s="149"/>
      <c r="G296" s="149"/>
      <c r="H296" s="149"/>
      <c r="I296" s="149"/>
      <c r="J296" s="46" t="s">
        <v>975</v>
      </c>
      <c r="K296" s="78">
        <f>'Stavební rozpočet'!K296</f>
        <v>1</v>
      </c>
      <c r="L296" s="54">
        <f>'Stavební rozpočet'!L296</f>
        <v>0</v>
      </c>
      <c r="M296" s="66">
        <f>K296*L296</f>
        <v>0</v>
      </c>
      <c r="N296" s="17"/>
      <c r="Z296" s="33">
        <f>IF(AQ296="5",BJ296,0)</f>
        <v>0</v>
      </c>
      <c r="AB296" s="33">
        <f>IF(AQ296="1",BH296,0)</f>
        <v>0</v>
      </c>
      <c r="AC296" s="33">
        <f>IF(AQ296="1",BI296,0)</f>
        <v>0</v>
      </c>
      <c r="AD296" s="33">
        <f>IF(AQ296="7",BH296,0)</f>
        <v>0</v>
      </c>
      <c r="AE296" s="33">
        <f>IF(AQ296="7",BI296,0)</f>
        <v>0</v>
      </c>
      <c r="AF296" s="33">
        <f>IF(AQ296="2",BH296,0)</f>
        <v>0</v>
      </c>
      <c r="AG296" s="33">
        <f>IF(AQ296="2",BI296,0)</f>
        <v>0</v>
      </c>
      <c r="AH296" s="33">
        <f>IF(AQ296="0",BJ296,0)</f>
        <v>0</v>
      </c>
      <c r="AI296" s="58" t="s">
        <v>61</v>
      </c>
      <c r="AJ296" s="54">
        <f>IF(AN296=0,M296,0)</f>
        <v>0</v>
      </c>
      <c r="AK296" s="54">
        <f>IF(AN296=15,M296,0)</f>
        <v>0</v>
      </c>
      <c r="AL296" s="54">
        <f>IF(AN296=21,M296,0)</f>
        <v>0</v>
      </c>
      <c r="AN296" s="33">
        <v>21</v>
      </c>
      <c r="AO296" s="33">
        <f>L296*1</f>
        <v>0</v>
      </c>
      <c r="AP296" s="33">
        <f>L296*(1-1)</f>
        <v>0</v>
      </c>
      <c r="AQ296" s="60" t="s">
        <v>80</v>
      </c>
      <c r="AV296" s="33">
        <f>AW296+AX296</f>
        <v>0</v>
      </c>
      <c r="AW296" s="33">
        <f>K296*AO296</f>
        <v>0</v>
      </c>
      <c r="AX296" s="33">
        <f>K296*AP296</f>
        <v>0</v>
      </c>
      <c r="AY296" s="61" t="s">
        <v>1003</v>
      </c>
      <c r="AZ296" s="61" t="s">
        <v>1025</v>
      </c>
      <c r="BA296" s="58" t="s">
        <v>1037</v>
      </c>
      <c r="BC296" s="33">
        <f>AW296+AX296</f>
        <v>0</v>
      </c>
      <c r="BD296" s="33">
        <f>L296/(100-BE296)*100</f>
        <v>0</v>
      </c>
      <c r="BE296" s="33">
        <v>0</v>
      </c>
      <c r="BF296" s="33">
        <f>296</f>
        <v>296</v>
      </c>
      <c r="BH296" s="54">
        <f>K296*AO296</f>
        <v>0</v>
      </c>
      <c r="BI296" s="54">
        <f>K296*AP296</f>
        <v>0</v>
      </c>
      <c r="BJ296" s="54">
        <f>K296*L296</f>
        <v>0</v>
      </c>
      <c r="BK296" s="54" t="s">
        <v>1047</v>
      </c>
      <c r="BL296" s="33">
        <v>87</v>
      </c>
    </row>
    <row r="297" spans="1:14" ht="12.75">
      <c r="A297" s="17"/>
      <c r="D297" s="143" t="s">
        <v>686</v>
      </c>
      <c r="E297" s="144"/>
      <c r="F297" s="144"/>
      <c r="G297" s="144"/>
      <c r="H297" s="144"/>
      <c r="I297" s="144"/>
      <c r="K297" s="75">
        <v>1</v>
      </c>
      <c r="M297" s="14"/>
      <c r="N297" s="17"/>
    </row>
    <row r="298" spans="1:64" ht="12.75">
      <c r="A298" s="39" t="s">
        <v>133</v>
      </c>
      <c r="B298" s="46" t="s">
        <v>61</v>
      </c>
      <c r="C298" s="46" t="s">
        <v>318</v>
      </c>
      <c r="D298" s="148" t="s">
        <v>687</v>
      </c>
      <c r="E298" s="149"/>
      <c r="F298" s="149"/>
      <c r="G298" s="149"/>
      <c r="H298" s="149"/>
      <c r="I298" s="149"/>
      <c r="J298" s="46" t="s">
        <v>975</v>
      </c>
      <c r="K298" s="78">
        <f>'Stavební rozpočet'!K298</f>
        <v>18</v>
      </c>
      <c r="L298" s="54">
        <f>'Stavební rozpočet'!L298</f>
        <v>0</v>
      </c>
      <c r="M298" s="66">
        <f>K298*L298</f>
        <v>0</v>
      </c>
      <c r="N298" s="17"/>
      <c r="Z298" s="33">
        <f>IF(AQ298="5",BJ298,0)</f>
        <v>0</v>
      </c>
      <c r="AB298" s="33">
        <f>IF(AQ298="1",BH298,0)</f>
        <v>0</v>
      </c>
      <c r="AC298" s="33">
        <f>IF(AQ298="1",BI298,0)</f>
        <v>0</v>
      </c>
      <c r="AD298" s="33">
        <f>IF(AQ298="7",BH298,0)</f>
        <v>0</v>
      </c>
      <c r="AE298" s="33">
        <f>IF(AQ298="7",BI298,0)</f>
        <v>0</v>
      </c>
      <c r="AF298" s="33">
        <f>IF(AQ298="2",BH298,0)</f>
        <v>0</v>
      </c>
      <c r="AG298" s="33">
        <f>IF(AQ298="2",BI298,0)</f>
        <v>0</v>
      </c>
      <c r="AH298" s="33">
        <f>IF(AQ298="0",BJ298,0)</f>
        <v>0</v>
      </c>
      <c r="AI298" s="58" t="s">
        <v>61</v>
      </c>
      <c r="AJ298" s="54">
        <f>IF(AN298=0,M298,0)</f>
        <v>0</v>
      </c>
      <c r="AK298" s="54">
        <f>IF(AN298=15,M298,0)</f>
        <v>0</v>
      </c>
      <c r="AL298" s="54">
        <f>IF(AN298=21,M298,0)</f>
        <v>0</v>
      </c>
      <c r="AN298" s="33">
        <v>21</v>
      </c>
      <c r="AO298" s="33">
        <f>L298*1</f>
        <v>0</v>
      </c>
      <c r="AP298" s="33">
        <f>L298*(1-1)</f>
        <v>0</v>
      </c>
      <c r="AQ298" s="60" t="s">
        <v>80</v>
      </c>
      <c r="AV298" s="33">
        <f>AW298+AX298</f>
        <v>0</v>
      </c>
      <c r="AW298" s="33">
        <f>K298*AO298</f>
        <v>0</v>
      </c>
      <c r="AX298" s="33">
        <f>K298*AP298</f>
        <v>0</v>
      </c>
      <c r="AY298" s="61" t="s">
        <v>1003</v>
      </c>
      <c r="AZ298" s="61" t="s">
        <v>1025</v>
      </c>
      <c r="BA298" s="58" t="s">
        <v>1037</v>
      </c>
      <c r="BC298" s="33">
        <f>AW298+AX298</f>
        <v>0</v>
      </c>
      <c r="BD298" s="33">
        <f>L298/(100-BE298)*100</f>
        <v>0</v>
      </c>
      <c r="BE298" s="33">
        <v>0</v>
      </c>
      <c r="BF298" s="33">
        <f>298</f>
        <v>298</v>
      </c>
      <c r="BH298" s="54">
        <f>K298*AO298</f>
        <v>0</v>
      </c>
      <c r="BI298" s="54">
        <f>K298*AP298</f>
        <v>0</v>
      </c>
      <c r="BJ298" s="54">
        <f>K298*L298</f>
        <v>0</v>
      </c>
      <c r="BK298" s="54" t="s">
        <v>1047</v>
      </c>
      <c r="BL298" s="33">
        <v>87</v>
      </c>
    </row>
    <row r="299" spans="1:14" ht="12.75">
      <c r="A299" s="17"/>
      <c r="D299" s="143" t="s">
        <v>688</v>
      </c>
      <c r="E299" s="144"/>
      <c r="F299" s="144"/>
      <c r="G299" s="144"/>
      <c r="H299" s="144"/>
      <c r="I299" s="144"/>
      <c r="K299" s="75">
        <v>4</v>
      </c>
      <c r="M299" s="14"/>
      <c r="N299" s="17"/>
    </row>
    <row r="300" spans="1:14" ht="12.75">
      <c r="A300" s="17"/>
      <c r="D300" s="143" t="s">
        <v>689</v>
      </c>
      <c r="E300" s="144"/>
      <c r="F300" s="144"/>
      <c r="G300" s="144"/>
      <c r="H300" s="144"/>
      <c r="I300" s="144"/>
      <c r="K300" s="75">
        <v>3</v>
      </c>
      <c r="M300" s="14"/>
      <c r="N300" s="17"/>
    </row>
    <row r="301" spans="1:14" ht="12.75">
      <c r="A301" s="17"/>
      <c r="D301" s="143" t="s">
        <v>690</v>
      </c>
      <c r="E301" s="144"/>
      <c r="F301" s="144"/>
      <c r="G301" s="144"/>
      <c r="H301" s="144"/>
      <c r="I301" s="144"/>
      <c r="K301" s="75">
        <v>3</v>
      </c>
      <c r="M301" s="14"/>
      <c r="N301" s="17"/>
    </row>
    <row r="302" spans="1:14" ht="12.75">
      <c r="A302" s="17"/>
      <c r="D302" s="143" t="s">
        <v>691</v>
      </c>
      <c r="E302" s="144"/>
      <c r="F302" s="144"/>
      <c r="G302" s="144"/>
      <c r="H302" s="144"/>
      <c r="I302" s="144"/>
      <c r="K302" s="75">
        <v>8</v>
      </c>
      <c r="M302" s="14"/>
      <c r="N302" s="17"/>
    </row>
    <row r="303" spans="1:64" ht="12.75">
      <c r="A303" s="39" t="s">
        <v>134</v>
      </c>
      <c r="B303" s="46" t="s">
        <v>61</v>
      </c>
      <c r="C303" s="46" t="s">
        <v>319</v>
      </c>
      <c r="D303" s="148" t="s">
        <v>692</v>
      </c>
      <c r="E303" s="149"/>
      <c r="F303" s="149"/>
      <c r="G303" s="149"/>
      <c r="H303" s="149"/>
      <c r="I303" s="149"/>
      <c r="J303" s="46" t="s">
        <v>975</v>
      </c>
      <c r="K303" s="78">
        <f>'Stavební rozpočet'!K303</f>
        <v>1</v>
      </c>
      <c r="L303" s="54">
        <f>'Stavební rozpočet'!L303</f>
        <v>0</v>
      </c>
      <c r="M303" s="66">
        <f>K303*L303</f>
        <v>0</v>
      </c>
      <c r="N303" s="17"/>
      <c r="Z303" s="33">
        <f>IF(AQ303="5",BJ303,0)</f>
        <v>0</v>
      </c>
      <c r="AB303" s="33">
        <f>IF(AQ303="1",BH303,0)</f>
        <v>0</v>
      </c>
      <c r="AC303" s="33">
        <f>IF(AQ303="1",BI303,0)</f>
        <v>0</v>
      </c>
      <c r="AD303" s="33">
        <f>IF(AQ303="7",BH303,0)</f>
        <v>0</v>
      </c>
      <c r="AE303" s="33">
        <f>IF(AQ303="7",BI303,0)</f>
        <v>0</v>
      </c>
      <c r="AF303" s="33">
        <f>IF(AQ303="2",BH303,0)</f>
        <v>0</v>
      </c>
      <c r="AG303" s="33">
        <f>IF(AQ303="2",BI303,0)</f>
        <v>0</v>
      </c>
      <c r="AH303" s="33">
        <f>IF(AQ303="0",BJ303,0)</f>
        <v>0</v>
      </c>
      <c r="AI303" s="58" t="s">
        <v>61</v>
      </c>
      <c r="AJ303" s="54">
        <f>IF(AN303=0,M303,0)</f>
        <v>0</v>
      </c>
      <c r="AK303" s="54">
        <f>IF(AN303=15,M303,0)</f>
        <v>0</v>
      </c>
      <c r="AL303" s="54">
        <f>IF(AN303=21,M303,0)</f>
        <v>0</v>
      </c>
      <c r="AN303" s="33">
        <v>21</v>
      </c>
      <c r="AO303" s="33">
        <f>L303*1</f>
        <v>0</v>
      </c>
      <c r="AP303" s="33">
        <f>L303*(1-1)</f>
        <v>0</v>
      </c>
      <c r="AQ303" s="60" t="s">
        <v>80</v>
      </c>
      <c r="AV303" s="33">
        <f>AW303+AX303</f>
        <v>0</v>
      </c>
      <c r="AW303" s="33">
        <f>K303*AO303</f>
        <v>0</v>
      </c>
      <c r="AX303" s="33">
        <f>K303*AP303</f>
        <v>0</v>
      </c>
      <c r="AY303" s="61" t="s">
        <v>1003</v>
      </c>
      <c r="AZ303" s="61" t="s">
        <v>1025</v>
      </c>
      <c r="BA303" s="58" t="s">
        <v>1037</v>
      </c>
      <c r="BC303" s="33">
        <f>AW303+AX303</f>
        <v>0</v>
      </c>
      <c r="BD303" s="33">
        <f>L303/(100-BE303)*100</f>
        <v>0</v>
      </c>
      <c r="BE303" s="33">
        <v>0</v>
      </c>
      <c r="BF303" s="33">
        <f>303</f>
        <v>303</v>
      </c>
      <c r="BH303" s="54">
        <f>K303*AO303</f>
        <v>0</v>
      </c>
      <c r="BI303" s="54">
        <f>K303*AP303</f>
        <v>0</v>
      </c>
      <c r="BJ303" s="54">
        <f>K303*L303</f>
        <v>0</v>
      </c>
      <c r="BK303" s="54" t="s">
        <v>1047</v>
      </c>
      <c r="BL303" s="33">
        <v>87</v>
      </c>
    </row>
    <row r="304" spans="1:14" ht="12.75">
      <c r="A304" s="17"/>
      <c r="D304" s="143" t="s">
        <v>679</v>
      </c>
      <c r="E304" s="144"/>
      <c r="F304" s="144"/>
      <c r="G304" s="144"/>
      <c r="H304" s="144"/>
      <c r="I304" s="144"/>
      <c r="K304" s="75">
        <v>1</v>
      </c>
      <c r="M304" s="14"/>
      <c r="N304" s="17"/>
    </row>
    <row r="305" spans="1:64" ht="12.75">
      <c r="A305" s="39" t="s">
        <v>135</v>
      </c>
      <c r="B305" s="46" t="s">
        <v>61</v>
      </c>
      <c r="C305" s="46" t="s">
        <v>320</v>
      </c>
      <c r="D305" s="148" t="s">
        <v>693</v>
      </c>
      <c r="E305" s="149"/>
      <c r="F305" s="149"/>
      <c r="G305" s="149"/>
      <c r="H305" s="149"/>
      <c r="I305" s="149"/>
      <c r="J305" s="46" t="s">
        <v>975</v>
      </c>
      <c r="K305" s="78">
        <f>'Stavební rozpočet'!K305</f>
        <v>4</v>
      </c>
      <c r="L305" s="54">
        <f>'Stavební rozpočet'!L305</f>
        <v>0</v>
      </c>
      <c r="M305" s="66">
        <f>K305*L305</f>
        <v>0</v>
      </c>
      <c r="N305" s="17"/>
      <c r="Z305" s="33">
        <f>IF(AQ305="5",BJ305,0)</f>
        <v>0</v>
      </c>
      <c r="AB305" s="33">
        <f>IF(AQ305="1",BH305,0)</f>
        <v>0</v>
      </c>
      <c r="AC305" s="33">
        <f>IF(AQ305="1",BI305,0)</f>
        <v>0</v>
      </c>
      <c r="AD305" s="33">
        <f>IF(AQ305="7",BH305,0)</f>
        <v>0</v>
      </c>
      <c r="AE305" s="33">
        <f>IF(AQ305="7",BI305,0)</f>
        <v>0</v>
      </c>
      <c r="AF305" s="33">
        <f>IF(AQ305="2",BH305,0)</f>
        <v>0</v>
      </c>
      <c r="AG305" s="33">
        <f>IF(AQ305="2",BI305,0)</f>
        <v>0</v>
      </c>
      <c r="AH305" s="33">
        <f>IF(AQ305="0",BJ305,0)</f>
        <v>0</v>
      </c>
      <c r="AI305" s="58" t="s">
        <v>61</v>
      </c>
      <c r="AJ305" s="54">
        <f>IF(AN305=0,M305,0)</f>
        <v>0</v>
      </c>
      <c r="AK305" s="54">
        <f>IF(AN305=15,M305,0)</f>
        <v>0</v>
      </c>
      <c r="AL305" s="54">
        <f>IF(AN305=21,M305,0)</f>
        <v>0</v>
      </c>
      <c r="AN305" s="33">
        <v>21</v>
      </c>
      <c r="AO305" s="33">
        <f>L305*1</f>
        <v>0</v>
      </c>
      <c r="AP305" s="33">
        <f>L305*(1-1)</f>
        <v>0</v>
      </c>
      <c r="AQ305" s="60" t="s">
        <v>80</v>
      </c>
      <c r="AV305" s="33">
        <f>AW305+AX305</f>
        <v>0</v>
      </c>
      <c r="AW305" s="33">
        <f>K305*AO305</f>
        <v>0</v>
      </c>
      <c r="AX305" s="33">
        <f>K305*AP305</f>
        <v>0</v>
      </c>
      <c r="AY305" s="61" t="s">
        <v>1003</v>
      </c>
      <c r="AZ305" s="61" t="s">
        <v>1025</v>
      </c>
      <c r="BA305" s="58" t="s">
        <v>1037</v>
      </c>
      <c r="BC305" s="33">
        <f>AW305+AX305</f>
        <v>0</v>
      </c>
      <c r="BD305" s="33">
        <f>L305/(100-BE305)*100</f>
        <v>0</v>
      </c>
      <c r="BE305" s="33">
        <v>0</v>
      </c>
      <c r="BF305" s="33">
        <f>305</f>
        <v>305</v>
      </c>
      <c r="BH305" s="54">
        <f>K305*AO305</f>
        <v>0</v>
      </c>
      <c r="BI305" s="54">
        <f>K305*AP305</f>
        <v>0</v>
      </c>
      <c r="BJ305" s="54">
        <f>K305*L305</f>
        <v>0</v>
      </c>
      <c r="BK305" s="54" t="s">
        <v>1047</v>
      </c>
      <c r="BL305" s="33">
        <v>87</v>
      </c>
    </row>
    <row r="306" spans="1:14" ht="12.75">
      <c r="A306" s="17"/>
      <c r="D306" s="143" t="s">
        <v>434</v>
      </c>
      <c r="E306" s="144"/>
      <c r="F306" s="144"/>
      <c r="G306" s="144"/>
      <c r="H306" s="144"/>
      <c r="I306" s="144"/>
      <c r="K306" s="75">
        <v>2</v>
      </c>
      <c r="M306" s="14"/>
      <c r="N306" s="17"/>
    </row>
    <row r="307" spans="1:14" ht="12.75">
      <c r="A307" s="17"/>
      <c r="D307" s="143" t="s">
        <v>437</v>
      </c>
      <c r="E307" s="144"/>
      <c r="F307" s="144"/>
      <c r="G307" s="144"/>
      <c r="H307" s="144"/>
      <c r="I307" s="144"/>
      <c r="K307" s="75">
        <v>2</v>
      </c>
      <c r="M307" s="14"/>
      <c r="N307" s="17"/>
    </row>
    <row r="308" spans="1:64" ht="12.75">
      <c r="A308" s="39" t="s">
        <v>136</v>
      </c>
      <c r="B308" s="46" t="s">
        <v>61</v>
      </c>
      <c r="C308" s="46" t="s">
        <v>321</v>
      </c>
      <c r="D308" s="148" t="s">
        <v>694</v>
      </c>
      <c r="E308" s="149"/>
      <c r="F308" s="149"/>
      <c r="G308" s="149"/>
      <c r="H308" s="149"/>
      <c r="I308" s="149"/>
      <c r="J308" s="46" t="s">
        <v>975</v>
      </c>
      <c r="K308" s="78">
        <f>'Stavební rozpočet'!K308</f>
        <v>1</v>
      </c>
      <c r="L308" s="54">
        <f>'Stavební rozpočet'!L308</f>
        <v>0</v>
      </c>
      <c r="M308" s="66">
        <f>K308*L308</f>
        <v>0</v>
      </c>
      <c r="N308" s="17"/>
      <c r="Z308" s="33">
        <f>IF(AQ308="5",BJ308,0)</f>
        <v>0</v>
      </c>
      <c r="AB308" s="33">
        <f>IF(AQ308="1",BH308,0)</f>
        <v>0</v>
      </c>
      <c r="AC308" s="33">
        <f>IF(AQ308="1",BI308,0)</f>
        <v>0</v>
      </c>
      <c r="AD308" s="33">
        <f>IF(AQ308="7",BH308,0)</f>
        <v>0</v>
      </c>
      <c r="AE308" s="33">
        <f>IF(AQ308="7",BI308,0)</f>
        <v>0</v>
      </c>
      <c r="AF308" s="33">
        <f>IF(AQ308="2",BH308,0)</f>
        <v>0</v>
      </c>
      <c r="AG308" s="33">
        <f>IF(AQ308="2",BI308,0)</f>
        <v>0</v>
      </c>
      <c r="AH308" s="33">
        <f>IF(AQ308="0",BJ308,0)</f>
        <v>0</v>
      </c>
      <c r="AI308" s="58" t="s">
        <v>61</v>
      </c>
      <c r="AJ308" s="54">
        <f>IF(AN308=0,M308,0)</f>
        <v>0</v>
      </c>
      <c r="AK308" s="54">
        <f>IF(AN308=15,M308,0)</f>
        <v>0</v>
      </c>
      <c r="AL308" s="54">
        <f>IF(AN308=21,M308,0)</f>
        <v>0</v>
      </c>
      <c r="AN308" s="33">
        <v>21</v>
      </c>
      <c r="AO308" s="33">
        <f>L308*1</f>
        <v>0</v>
      </c>
      <c r="AP308" s="33">
        <f>L308*(1-1)</f>
        <v>0</v>
      </c>
      <c r="AQ308" s="60" t="s">
        <v>80</v>
      </c>
      <c r="AV308" s="33">
        <f>AW308+AX308</f>
        <v>0</v>
      </c>
      <c r="AW308" s="33">
        <f>K308*AO308</f>
        <v>0</v>
      </c>
      <c r="AX308" s="33">
        <f>K308*AP308</f>
        <v>0</v>
      </c>
      <c r="AY308" s="61" t="s">
        <v>1003</v>
      </c>
      <c r="AZ308" s="61" t="s">
        <v>1025</v>
      </c>
      <c r="BA308" s="58" t="s">
        <v>1037</v>
      </c>
      <c r="BC308" s="33">
        <f>AW308+AX308</f>
        <v>0</v>
      </c>
      <c r="BD308" s="33">
        <f>L308/(100-BE308)*100</f>
        <v>0</v>
      </c>
      <c r="BE308" s="33">
        <v>0</v>
      </c>
      <c r="BF308" s="33">
        <f>308</f>
        <v>308</v>
      </c>
      <c r="BH308" s="54">
        <f>K308*AO308</f>
        <v>0</v>
      </c>
      <c r="BI308" s="54">
        <f>K308*AP308</f>
        <v>0</v>
      </c>
      <c r="BJ308" s="54">
        <f>K308*L308</f>
        <v>0</v>
      </c>
      <c r="BK308" s="54" t="s">
        <v>1047</v>
      </c>
      <c r="BL308" s="33">
        <v>87</v>
      </c>
    </row>
    <row r="309" spans="1:14" ht="12.75">
      <c r="A309" s="17"/>
      <c r="D309" s="143" t="s">
        <v>695</v>
      </c>
      <c r="E309" s="144"/>
      <c r="F309" s="144"/>
      <c r="G309" s="144"/>
      <c r="H309" s="144"/>
      <c r="I309" s="144"/>
      <c r="K309" s="75">
        <v>1</v>
      </c>
      <c r="M309" s="14"/>
      <c r="N309" s="17"/>
    </row>
    <row r="310" spans="1:64" ht="12.75">
      <c r="A310" s="38" t="s">
        <v>137</v>
      </c>
      <c r="B310" s="45" t="s">
        <v>61</v>
      </c>
      <c r="C310" s="45" t="s">
        <v>322</v>
      </c>
      <c r="D310" s="141" t="s">
        <v>696</v>
      </c>
      <c r="E310" s="142"/>
      <c r="F310" s="142"/>
      <c r="G310" s="142"/>
      <c r="H310" s="142"/>
      <c r="I310" s="142"/>
      <c r="J310" s="45" t="s">
        <v>975</v>
      </c>
      <c r="K310" s="74">
        <f>'Stavební rozpočet'!K310</f>
        <v>12</v>
      </c>
      <c r="L310" s="53">
        <f>'Stavební rozpočet'!L310</f>
        <v>0</v>
      </c>
      <c r="M310" s="65">
        <f>K310*L310</f>
        <v>0</v>
      </c>
      <c r="N310" s="17"/>
      <c r="Z310" s="33">
        <f>IF(AQ310="5",BJ310,0)</f>
        <v>0</v>
      </c>
      <c r="AB310" s="33">
        <f>IF(AQ310="1",BH310,0)</f>
        <v>0</v>
      </c>
      <c r="AC310" s="33">
        <f>IF(AQ310="1",BI310,0)</f>
        <v>0</v>
      </c>
      <c r="AD310" s="33">
        <f>IF(AQ310="7",BH310,0)</f>
        <v>0</v>
      </c>
      <c r="AE310" s="33">
        <f>IF(AQ310="7",BI310,0)</f>
        <v>0</v>
      </c>
      <c r="AF310" s="33">
        <f>IF(AQ310="2",BH310,0)</f>
        <v>0</v>
      </c>
      <c r="AG310" s="33">
        <f>IF(AQ310="2",BI310,0)</f>
        <v>0</v>
      </c>
      <c r="AH310" s="33">
        <f>IF(AQ310="0",BJ310,0)</f>
        <v>0</v>
      </c>
      <c r="AI310" s="58" t="s">
        <v>61</v>
      </c>
      <c r="AJ310" s="53">
        <f>IF(AN310=0,M310,0)</f>
        <v>0</v>
      </c>
      <c r="AK310" s="53">
        <f>IF(AN310=15,M310,0)</f>
        <v>0</v>
      </c>
      <c r="AL310" s="53">
        <f>IF(AN310=21,M310,0)</f>
        <v>0</v>
      </c>
      <c r="AN310" s="33">
        <v>21</v>
      </c>
      <c r="AO310" s="33">
        <f>L310*0.00563829787234043</f>
        <v>0</v>
      </c>
      <c r="AP310" s="33">
        <f>L310*(1-0.00563829787234043)</f>
        <v>0</v>
      </c>
      <c r="AQ310" s="59" t="s">
        <v>80</v>
      </c>
      <c r="AV310" s="33">
        <f>AW310+AX310</f>
        <v>0</v>
      </c>
      <c r="AW310" s="33">
        <f>K310*AO310</f>
        <v>0</v>
      </c>
      <c r="AX310" s="33">
        <f>K310*AP310</f>
        <v>0</v>
      </c>
      <c r="AY310" s="61" t="s">
        <v>1003</v>
      </c>
      <c r="AZ310" s="61" t="s">
        <v>1025</v>
      </c>
      <c r="BA310" s="58" t="s">
        <v>1037</v>
      </c>
      <c r="BC310" s="33">
        <f>AW310+AX310</f>
        <v>0</v>
      </c>
      <c r="BD310" s="33">
        <f>L310/(100-BE310)*100</f>
        <v>0</v>
      </c>
      <c r="BE310" s="33">
        <v>0</v>
      </c>
      <c r="BF310" s="33">
        <f>310</f>
        <v>310</v>
      </c>
      <c r="BH310" s="53">
        <f>K310*AO310</f>
        <v>0</v>
      </c>
      <c r="BI310" s="53">
        <f>K310*AP310</f>
        <v>0</v>
      </c>
      <c r="BJ310" s="53">
        <f>K310*L310</f>
        <v>0</v>
      </c>
      <c r="BK310" s="53" t="s">
        <v>1046</v>
      </c>
      <c r="BL310" s="33">
        <v>87</v>
      </c>
    </row>
    <row r="311" spans="1:14" ht="12.75">
      <c r="A311" s="17"/>
      <c r="D311" s="143" t="s">
        <v>697</v>
      </c>
      <c r="E311" s="144"/>
      <c r="F311" s="144"/>
      <c r="G311" s="144"/>
      <c r="H311" s="144"/>
      <c r="I311" s="144"/>
      <c r="K311" s="75">
        <v>12</v>
      </c>
      <c r="M311" s="14"/>
      <c r="N311" s="17"/>
    </row>
    <row r="312" spans="1:64" ht="12.75">
      <c r="A312" s="39" t="s">
        <v>138</v>
      </c>
      <c r="B312" s="46" t="s">
        <v>61</v>
      </c>
      <c r="C312" s="46" t="s">
        <v>323</v>
      </c>
      <c r="D312" s="148" t="s">
        <v>698</v>
      </c>
      <c r="E312" s="149"/>
      <c r="F312" s="149"/>
      <c r="G312" s="149"/>
      <c r="H312" s="149"/>
      <c r="I312" s="149"/>
      <c r="J312" s="46" t="s">
        <v>975</v>
      </c>
      <c r="K312" s="78">
        <f>'Stavební rozpočet'!K312</f>
        <v>1.03</v>
      </c>
      <c r="L312" s="54">
        <f>'Stavební rozpočet'!L312</f>
        <v>0</v>
      </c>
      <c r="M312" s="66">
        <f>K312*L312</f>
        <v>0</v>
      </c>
      <c r="N312" s="17"/>
      <c r="Z312" s="33">
        <f>IF(AQ312="5",BJ312,0)</f>
        <v>0</v>
      </c>
      <c r="AB312" s="33">
        <f>IF(AQ312="1",BH312,0)</f>
        <v>0</v>
      </c>
      <c r="AC312" s="33">
        <f>IF(AQ312="1",BI312,0)</f>
        <v>0</v>
      </c>
      <c r="AD312" s="33">
        <f>IF(AQ312="7",BH312,0)</f>
        <v>0</v>
      </c>
      <c r="AE312" s="33">
        <f>IF(AQ312="7",BI312,0)</f>
        <v>0</v>
      </c>
      <c r="AF312" s="33">
        <f>IF(AQ312="2",BH312,0)</f>
        <v>0</v>
      </c>
      <c r="AG312" s="33">
        <f>IF(AQ312="2",BI312,0)</f>
        <v>0</v>
      </c>
      <c r="AH312" s="33">
        <f>IF(AQ312="0",BJ312,0)</f>
        <v>0</v>
      </c>
      <c r="AI312" s="58" t="s">
        <v>61</v>
      </c>
      <c r="AJ312" s="54">
        <f>IF(AN312=0,M312,0)</f>
        <v>0</v>
      </c>
      <c r="AK312" s="54">
        <f>IF(AN312=15,M312,0)</f>
        <v>0</v>
      </c>
      <c r="AL312" s="54">
        <f>IF(AN312=21,M312,0)</f>
        <v>0</v>
      </c>
      <c r="AN312" s="33">
        <v>21</v>
      </c>
      <c r="AO312" s="33">
        <f>L312*1</f>
        <v>0</v>
      </c>
      <c r="AP312" s="33">
        <f>L312*(1-1)</f>
        <v>0</v>
      </c>
      <c r="AQ312" s="60" t="s">
        <v>80</v>
      </c>
      <c r="AV312" s="33">
        <f>AW312+AX312</f>
        <v>0</v>
      </c>
      <c r="AW312" s="33">
        <f>K312*AO312</f>
        <v>0</v>
      </c>
      <c r="AX312" s="33">
        <f>K312*AP312</f>
        <v>0</v>
      </c>
      <c r="AY312" s="61" t="s">
        <v>1003</v>
      </c>
      <c r="AZ312" s="61" t="s">
        <v>1025</v>
      </c>
      <c r="BA312" s="58" t="s">
        <v>1037</v>
      </c>
      <c r="BC312" s="33">
        <f>AW312+AX312</f>
        <v>0</v>
      </c>
      <c r="BD312" s="33">
        <f>L312/(100-BE312)*100</f>
        <v>0</v>
      </c>
      <c r="BE312" s="33">
        <v>0</v>
      </c>
      <c r="BF312" s="33">
        <f>312</f>
        <v>312</v>
      </c>
      <c r="BH312" s="54">
        <f>K312*AO312</f>
        <v>0</v>
      </c>
      <c r="BI312" s="54">
        <f>K312*AP312</f>
        <v>0</v>
      </c>
      <c r="BJ312" s="54">
        <f>K312*L312</f>
        <v>0</v>
      </c>
      <c r="BK312" s="54" t="s">
        <v>1047</v>
      </c>
      <c r="BL312" s="33">
        <v>87</v>
      </c>
    </row>
    <row r="313" spans="1:14" ht="12.75">
      <c r="A313" s="17"/>
      <c r="D313" s="143" t="s">
        <v>695</v>
      </c>
      <c r="E313" s="144"/>
      <c r="F313" s="144"/>
      <c r="G313" s="144"/>
      <c r="H313" s="144"/>
      <c r="I313" s="144"/>
      <c r="K313" s="75">
        <v>1</v>
      </c>
      <c r="M313" s="14"/>
      <c r="N313" s="17"/>
    </row>
    <row r="314" spans="1:14" ht="12.75">
      <c r="A314" s="17"/>
      <c r="D314" s="143" t="s">
        <v>699</v>
      </c>
      <c r="E314" s="144"/>
      <c r="F314" s="144"/>
      <c r="G314" s="144"/>
      <c r="H314" s="144"/>
      <c r="I314" s="144"/>
      <c r="K314" s="75">
        <v>0.03</v>
      </c>
      <c r="M314" s="14"/>
      <c r="N314" s="17"/>
    </row>
    <row r="315" spans="1:64" ht="12.75">
      <c r="A315" s="39" t="s">
        <v>139</v>
      </c>
      <c r="B315" s="46" t="s">
        <v>61</v>
      </c>
      <c r="C315" s="46" t="s">
        <v>324</v>
      </c>
      <c r="D315" s="148" t="s">
        <v>700</v>
      </c>
      <c r="E315" s="149"/>
      <c r="F315" s="149"/>
      <c r="G315" s="149"/>
      <c r="H315" s="149"/>
      <c r="I315" s="149"/>
      <c r="J315" s="46" t="s">
        <v>975</v>
      </c>
      <c r="K315" s="78">
        <f>'Stavební rozpočet'!K315</f>
        <v>4.12</v>
      </c>
      <c r="L315" s="54">
        <f>'Stavební rozpočet'!L315</f>
        <v>0</v>
      </c>
      <c r="M315" s="66">
        <f>K315*L315</f>
        <v>0</v>
      </c>
      <c r="N315" s="17"/>
      <c r="Z315" s="33">
        <f>IF(AQ315="5",BJ315,0)</f>
        <v>0</v>
      </c>
      <c r="AB315" s="33">
        <f>IF(AQ315="1",BH315,0)</f>
        <v>0</v>
      </c>
      <c r="AC315" s="33">
        <f>IF(AQ315="1",BI315,0)</f>
        <v>0</v>
      </c>
      <c r="AD315" s="33">
        <f>IF(AQ315="7",BH315,0)</f>
        <v>0</v>
      </c>
      <c r="AE315" s="33">
        <f>IF(AQ315="7",BI315,0)</f>
        <v>0</v>
      </c>
      <c r="AF315" s="33">
        <f>IF(AQ315="2",BH315,0)</f>
        <v>0</v>
      </c>
      <c r="AG315" s="33">
        <f>IF(AQ315="2",BI315,0)</f>
        <v>0</v>
      </c>
      <c r="AH315" s="33">
        <f>IF(AQ315="0",BJ315,0)</f>
        <v>0</v>
      </c>
      <c r="AI315" s="58" t="s">
        <v>61</v>
      </c>
      <c r="AJ315" s="54">
        <f>IF(AN315=0,M315,0)</f>
        <v>0</v>
      </c>
      <c r="AK315" s="54">
        <f>IF(AN315=15,M315,0)</f>
        <v>0</v>
      </c>
      <c r="AL315" s="54">
        <f>IF(AN315=21,M315,0)</f>
        <v>0</v>
      </c>
      <c r="AN315" s="33">
        <v>21</v>
      </c>
      <c r="AO315" s="33">
        <f>L315*1</f>
        <v>0</v>
      </c>
      <c r="AP315" s="33">
        <f>L315*(1-1)</f>
        <v>0</v>
      </c>
      <c r="AQ315" s="60" t="s">
        <v>80</v>
      </c>
      <c r="AV315" s="33">
        <f>AW315+AX315</f>
        <v>0</v>
      </c>
      <c r="AW315" s="33">
        <f>K315*AO315</f>
        <v>0</v>
      </c>
      <c r="AX315" s="33">
        <f>K315*AP315</f>
        <v>0</v>
      </c>
      <c r="AY315" s="61" t="s">
        <v>1003</v>
      </c>
      <c r="AZ315" s="61" t="s">
        <v>1025</v>
      </c>
      <c r="BA315" s="58" t="s">
        <v>1037</v>
      </c>
      <c r="BC315" s="33">
        <f>AW315+AX315</f>
        <v>0</v>
      </c>
      <c r="BD315" s="33">
        <f>L315/(100-BE315)*100</f>
        <v>0</v>
      </c>
      <c r="BE315" s="33">
        <v>0</v>
      </c>
      <c r="BF315" s="33">
        <f>315</f>
        <v>315</v>
      </c>
      <c r="BH315" s="54">
        <f>K315*AO315</f>
        <v>0</v>
      </c>
      <c r="BI315" s="54">
        <f>K315*AP315</f>
        <v>0</v>
      </c>
      <c r="BJ315" s="54">
        <f>K315*L315</f>
        <v>0</v>
      </c>
      <c r="BK315" s="54" t="s">
        <v>1047</v>
      </c>
      <c r="BL315" s="33">
        <v>87</v>
      </c>
    </row>
    <row r="316" spans="1:14" ht="12.75">
      <c r="A316" s="17"/>
      <c r="D316" s="143" t="s">
        <v>647</v>
      </c>
      <c r="E316" s="144"/>
      <c r="F316" s="144"/>
      <c r="G316" s="144"/>
      <c r="H316" s="144"/>
      <c r="I316" s="144"/>
      <c r="K316" s="75">
        <v>1</v>
      </c>
      <c r="M316" s="14"/>
      <c r="N316" s="17"/>
    </row>
    <row r="317" spans="1:14" ht="12.75">
      <c r="A317" s="17"/>
      <c r="D317" s="143" t="s">
        <v>679</v>
      </c>
      <c r="E317" s="144"/>
      <c r="F317" s="144"/>
      <c r="G317" s="144"/>
      <c r="H317" s="144"/>
      <c r="I317" s="144"/>
      <c r="K317" s="75">
        <v>1</v>
      </c>
      <c r="M317" s="14"/>
      <c r="N317" s="17"/>
    </row>
    <row r="318" spans="1:14" ht="12.75">
      <c r="A318" s="17"/>
      <c r="D318" s="143" t="s">
        <v>648</v>
      </c>
      <c r="E318" s="144"/>
      <c r="F318" s="144"/>
      <c r="G318" s="144"/>
      <c r="H318" s="144"/>
      <c r="I318" s="144"/>
      <c r="K318" s="75">
        <v>1</v>
      </c>
      <c r="M318" s="14"/>
      <c r="N318" s="17"/>
    </row>
    <row r="319" spans="1:14" ht="12.75">
      <c r="A319" s="17"/>
      <c r="D319" s="143" t="s">
        <v>649</v>
      </c>
      <c r="E319" s="144"/>
      <c r="F319" s="144"/>
      <c r="G319" s="144"/>
      <c r="H319" s="144"/>
      <c r="I319" s="144"/>
      <c r="K319" s="75">
        <v>1</v>
      </c>
      <c r="M319" s="14"/>
      <c r="N319" s="17"/>
    </row>
    <row r="320" spans="1:14" ht="12.75">
      <c r="A320" s="17"/>
      <c r="D320" s="143" t="s">
        <v>701</v>
      </c>
      <c r="E320" s="144"/>
      <c r="F320" s="144"/>
      <c r="G320" s="144"/>
      <c r="H320" s="144"/>
      <c r="I320" s="144"/>
      <c r="K320" s="75">
        <v>0.12</v>
      </c>
      <c r="M320" s="14"/>
      <c r="N320" s="17"/>
    </row>
    <row r="321" spans="1:64" ht="12.75">
      <c r="A321" s="39" t="s">
        <v>140</v>
      </c>
      <c r="B321" s="46" t="s">
        <v>61</v>
      </c>
      <c r="C321" s="46" t="s">
        <v>325</v>
      </c>
      <c r="D321" s="148" t="s">
        <v>702</v>
      </c>
      <c r="E321" s="149"/>
      <c r="F321" s="149"/>
      <c r="G321" s="149"/>
      <c r="H321" s="149"/>
      <c r="I321" s="149"/>
      <c r="J321" s="46" t="s">
        <v>975</v>
      </c>
      <c r="K321" s="78">
        <f>'Stavební rozpočet'!K321</f>
        <v>6.18</v>
      </c>
      <c r="L321" s="54">
        <f>'Stavební rozpočet'!L321</f>
        <v>0</v>
      </c>
      <c r="M321" s="66">
        <f>K321*L321</f>
        <v>0</v>
      </c>
      <c r="N321" s="17"/>
      <c r="Z321" s="33">
        <f>IF(AQ321="5",BJ321,0)</f>
        <v>0</v>
      </c>
      <c r="AB321" s="33">
        <f>IF(AQ321="1",BH321,0)</f>
        <v>0</v>
      </c>
      <c r="AC321" s="33">
        <f>IF(AQ321="1",BI321,0)</f>
        <v>0</v>
      </c>
      <c r="AD321" s="33">
        <f>IF(AQ321="7",BH321,0)</f>
        <v>0</v>
      </c>
      <c r="AE321" s="33">
        <f>IF(AQ321="7",BI321,0)</f>
        <v>0</v>
      </c>
      <c r="AF321" s="33">
        <f>IF(AQ321="2",BH321,0)</f>
        <v>0</v>
      </c>
      <c r="AG321" s="33">
        <f>IF(AQ321="2",BI321,0)</f>
        <v>0</v>
      </c>
      <c r="AH321" s="33">
        <f>IF(AQ321="0",BJ321,0)</f>
        <v>0</v>
      </c>
      <c r="AI321" s="58" t="s">
        <v>61</v>
      </c>
      <c r="AJ321" s="54">
        <f>IF(AN321=0,M321,0)</f>
        <v>0</v>
      </c>
      <c r="AK321" s="54">
        <f>IF(AN321=15,M321,0)</f>
        <v>0</v>
      </c>
      <c r="AL321" s="54">
        <f>IF(AN321=21,M321,0)</f>
        <v>0</v>
      </c>
      <c r="AN321" s="33">
        <v>21</v>
      </c>
      <c r="AO321" s="33">
        <f>L321*1</f>
        <v>0</v>
      </c>
      <c r="AP321" s="33">
        <f>L321*(1-1)</f>
        <v>0</v>
      </c>
      <c r="AQ321" s="60" t="s">
        <v>80</v>
      </c>
      <c r="AV321" s="33">
        <f>AW321+AX321</f>
        <v>0</v>
      </c>
      <c r="AW321" s="33">
        <f>K321*AO321</f>
        <v>0</v>
      </c>
      <c r="AX321" s="33">
        <f>K321*AP321</f>
        <v>0</v>
      </c>
      <c r="AY321" s="61" t="s">
        <v>1003</v>
      </c>
      <c r="AZ321" s="61" t="s">
        <v>1025</v>
      </c>
      <c r="BA321" s="58" t="s">
        <v>1037</v>
      </c>
      <c r="BC321" s="33">
        <f>AW321+AX321</f>
        <v>0</v>
      </c>
      <c r="BD321" s="33">
        <f>L321/(100-BE321)*100</f>
        <v>0</v>
      </c>
      <c r="BE321" s="33">
        <v>0</v>
      </c>
      <c r="BF321" s="33">
        <f>321</f>
        <v>321</v>
      </c>
      <c r="BH321" s="54">
        <f>K321*AO321</f>
        <v>0</v>
      </c>
      <c r="BI321" s="54">
        <f>K321*AP321</f>
        <v>0</v>
      </c>
      <c r="BJ321" s="54">
        <f>K321*L321</f>
        <v>0</v>
      </c>
      <c r="BK321" s="54" t="s">
        <v>1047</v>
      </c>
      <c r="BL321" s="33">
        <v>87</v>
      </c>
    </row>
    <row r="322" spans="1:14" ht="12.75">
      <c r="A322" s="17"/>
      <c r="D322" s="143" t="s">
        <v>436</v>
      </c>
      <c r="E322" s="144"/>
      <c r="F322" s="144"/>
      <c r="G322" s="144"/>
      <c r="H322" s="144"/>
      <c r="I322" s="144"/>
      <c r="K322" s="75">
        <v>2</v>
      </c>
      <c r="M322" s="14"/>
      <c r="N322" s="17"/>
    </row>
    <row r="323" spans="1:14" ht="12.75">
      <c r="A323" s="17"/>
      <c r="D323" s="143" t="s">
        <v>439</v>
      </c>
      <c r="E323" s="144"/>
      <c r="F323" s="144"/>
      <c r="G323" s="144"/>
      <c r="H323" s="144"/>
      <c r="I323" s="144"/>
      <c r="K323" s="75">
        <v>2</v>
      </c>
      <c r="M323" s="14"/>
      <c r="N323" s="17"/>
    </row>
    <row r="324" spans="1:14" ht="12.75">
      <c r="A324" s="17"/>
      <c r="D324" s="143" t="s">
        <v>703</v>
      </c>
      <c r="E324" s="144"/>
      <c r="F324" s="144"/>
      <c r="G324" s="144"/>
      <c r="H324" s="144"/>
      <c r="I324" s="144"/>
      <c r="K324" s="75">
        <v>2</v>
      </c>
      <c r="M324" s="14"/>
      <c r="N324" s="17"/>
    </row>
    <row r="325" spans="1:14" ht="12.75">
      <c r="A325" s="17"/>
      <c r="D325" s="143" t="s">
        <v>704</v>
      </c>
      <c r="E325" s="144"/>
      <c r="F325" s="144"/>
      <c r="G325" s="144"/>
      <c r="H325" s="144"/>
      <c r="I325" s="144"/>
      <c r="K325" s="75">
        <v>0.18</v>
      </c>
      <c r="M325" s="14"/>
      <c r="N325" s="17"/>
    </row>
    <row r="326" spans="1:64" ht="12.75">
      <c r="A326" s="39" t="s">
        <v>141</v>
      </c>
      <c r="B326" s="46" t="s">
        <v>61</v>
      </c>
      <c r="C326" s="46" t="s">
        <v>324</v>
      </c>
      <c r="D326" s="148" t="s">
        <v>700</v>
      </c>
      <c r="E326" s="149"/>
      <c r="F326" s="149"/>
      <c r="G326" s="149"/>
      <c r="H326" s="149"/>
      <c r="I326" s="149"/>
      <c r="J326" s="46" t="s">
        <v>975</v>
      </c>
      <c r="K326" s="78">
        <f>'Stavební rozpočet'!K326</f>
        <v>1.03</v>
      </c>
      <c r="L326" s="54">
        <f>'Stavební rozpočet'!L326</f>
        <v>0</v>
      </c>
      <c r="M326" s="66">
        <f>K326*L326</f>
        <v>0</v>
      </c>
      <c r="N326" s="17"/>
      <c r="Z326" s="33">
        <f>IF(AQ326="5",BJ326,0)</f>
        <v>0</v>
      </c>
      <c r="AB326" s="33">
        <f>IF(AQ326="1",BH326,0)</f>
        <v>0</v>
      </c>
      <c r="AC326" s="33">
        <f>IF(AQ326="1",BI326,0)</f>
        <v>0</v>
      </c>
      <c r="AD326" s="33">
        <f>IF(AQ326="7",BH326,0)</f>
        <v>0</v>
      </c>
      <c r="AE326" s="33">
        <f>IF(AQ326="7",BI326,0)</f>
        <v>0</v>
      </c>
      <c r="AF326" s="33">
        <f>IF(AQ326="2",BH326,0)</f>
        <v>0</v>
      </c>
      <c r="AG326" s="33">
        <f>IF(AQ326="2",BI326,0)</f>
        <v>0</v>
      </c>
      <c r="AH326" s="33">
        <f>IF(AQ326="0",BJ326,0)</f>
        <v>0</v>
      </c>
      <c r="AI326" s="58" t="s">
        <v>61</v>
      </c>
      <c r="AJ326" s="54">
        <f>IF(AN326=0,M326,0)</f>
        <v>0</v>
      </c>
      <c r="AK326" s="54">
        <f>IF(AN326=15,M326,0)</f>
        <v>0</v>
      </c>
      <c r="AL326" s="54">
        <f>IF(AN326=21,M326,0)</f>
        <v>0</v>
      </c>
      <c r="AN326" s="33">
        <v>21</v>
      </c>
      <c r="AO326" s="33">
        <f>L326*1</f>
        <v>0</v>
      </c>
      <c r="AP326" s="33">
        <f>L326*(1-1)</f>
        <v>0</v>
      </c>
      <c r="AQ326" s="60" t="s">
        <v>80</v>
      </c>
      <c r="AV326" s="33">
        <f>AW326+AX326</f>
        <v>0</v>
      </c>
      <c r="AW326" s="33">
        <f>K326*AO326</f>
        <v>0</v>
      </c>
      <c r="AX326" s="33">
        <f>K326*AP326</f>
        <v>0</v>
      </c>
      <c r="AY326" s="61" t="s">
        <v>1003</v>
      </c>
      <c r="AZ326" s="61" t="s">
        <v>1025</v>
      </c>
      <c r="BA326" s="58" t="s">
        <v>1037</v>
      </c>
      <c r="BC326" s="33">
        <f>AW326+AX326</f>
        <v>0</v>
      </c>
      <c r="BD326" s="33">
        <f>L326/(100-BE326)*100</f>
        <v>0</v>
      </c>
      <c r="BE326" s="33">
        <v>0</v>
      </c>
      <c r="BF326" s="33">
        <f>326</f>
        <v>326</v>
      </c>
      <c r="BH326" s="54">
        <f>K326*AO326</f>
        <v>0</v>
      </c>
      <c r="BI326" s="54">
        <f>K326*AP326</f>
        <v>0</v>
      </c>
      <c r="BJ326" s="54">
        <f>K326*L326</f>
        <v>0</v>
      </c>
      <c r="BK326" s="54" t="s">
        <v>1047</v>
      </c>
      <c r="BL326" s="33">
        <v>87</v>
      </c>
    </row>
    <row r="327" spans="1:14" ht="12.75">
      <c r="A327" s="17"/>
      <c r="D327" s="143" t="s">
        <v>705</v>
      </c>
      <c r="E327" s="144"/>
      <c r="F327" s="144"/>
      <c r="G327" s="144"/>
      <c r="H327" s="144"/>
      <c r="I327" s="144"/>
      <c r="K327" s="75">
        <v>1</v>
      </c>
      <c r="M327" s="14"/>
      <c r="N327" s="17"/>
    </row>
    <row r="328" spans="1:14" ht="12.75">
      <c r="A328" s="17"/>
      <c r="D328" s="143" t="s">
        <v>699</v>
      </c>
      <c r="E328" s="144"/>
      <c r="F328" s="144"/>
      <c r="G328" s="144"/>
      <c r="H328" s="144"/>
      <c r="I328" s="144"/>
      <c r="K328" s="75">
        <v>0.03</v>
      </c>
      <c r="M328" s="14"/>
      <c r="N328" s="17"/>
    </row>
    <row r="329" spans="1:47" ht="12.75">
      <c r="A329" s="37"/>
      <c r="B329" s="44" t="s">
        <v>61</v>
      </c>
      <c r="C329" s="44" t="s">
        <v>168</v>
      </c>
      <c r="D329" s="139" t="s">
        <v>706</v>
      </c>
      <c r="E329" s="140"/>
      <c r="F329" s="140"/>
      <c r="G329" s="140"/>
      <c r="H329" s="140"/>
      <c r="I329" s="140"/>
      <c r="J329" s="50" t="s">
        <v>59</v>
      </c>
      <c r="K329" s="50" t="s">
        <v>59</v>
      </c>
      <c r="L329" s="50" t="s">
        <v>59</v>
      </c>
      <c r="M329" s="64">
        <f>SUM(M330:M396)</f>
        <v>0</v>
      </c>
      <c r="N329" s="17"/>
      <c r="AI329" s="58" t="s">
        <v>61</v>
      </c>
      <c r="AS329" s="68">
        <f>SUM(AJ330:AJ396)</f>
        <v>0</v>
      </c>
      <c r="AT329" s="68">
        <f>SUM(AK330:AK396)</f>
        <v>0</v>
      </c>
      <c r="AU329" s="68">
        <f>SUM(AL330:AL396)</f>
        <v>0</v>
      </c>
    </row>
    <row r="330" spans="1:64" ht="12.75">
      <c r="A330" s="38" t="s">
        <v>142</v>
      </c>
      <c r="B330" s="45" t="s">
        <v>61</v>
      </c>
      <c r="C330" s="45" t="s">
        <v>326</v>
      </c>
      <c r="D330" s="141" t="s">
        <v>707</v>
      </c>
      <c r="E330" s="142"/>
      <c r="F330" s="142"/>
      <c r="G330" s="142"/>
      <c r="H330" s="142"/>
      <c r="I330" s="142"/>
      <c r="J330" s="45" t="s">
        <v>968</v>
      </c>
      <c r="K330" s="74">
        <f>'Stavební rozpočet'!K330</f>
        <v>142.38</v>
      </c>
      <c r="L330" s="53">
        <f>'Stavební rozpočet'!L330</f>
        <v>0</v>
      </c>
      <c r="M330" s="65">
        <f>K330*L330</f>
        <v>0</v>
      </c>
      <c r="N330" s="17"/>
      <c r="Z330" s="33">
        <f>IF(AQ330="5",BJ330,0)</f>
        <v>0</v>
      </c>
      <c r="AB330" s="33">
        <f>IF(AQ330="1",BH330,0)</f>
        <v>0</v>
      </c>
      <c r="AC330" s="33">
        <f>IF(AQ330="1",BI330,0)</f>
        <v>0</v>
      </c>
      <c r="AD330" s="33">
        <f>IF(AQ330="7",BH330,0)</f>
        <v>0</v>
      </c>
      <c r="AE330" s="33">
        <f>IF(AQ330="7",BI330,0)</f>
        <v>0</v>
      </c>
      <c r="AF330" s="33">
        <f>IF(AQ330="2",BH330,0)</f>
        <v>0</v>
      </c>
      <c r="AG330" s="33">
        <f>IF(AQ330="2",BI330,0)</f>
        <v>0</v>
      </c>
      <c r="AH330" s="33">
        <f>IF(AQ330="0",BJ330,0)</f>
        <v>0</v>
      </c>
      <c r="AI330" s="58" t="s">
        <v>61</v>
      </c>
      <c r="AJ330" s="53">
        <f>IF(AN330=0,M330,0)</f>
        <v>0</v>
      </c>
      <c r="AK330" s="53">
        <f>IF(AN330=15,M330,0)</f>
        <v>0</v>
      </c>
      <c r="AL330" s="53">
        <f>IF(AN330=21,M330,0)</f>
        <v>0</v>
      </c>
      <c r="AN330" s="33">
        <v>21</v>
      </c>
      <c r="AO330" s="33">
        <f>L330*0</f>
        <v>0</v>
      </c>
      <c r="AP330" s="33">
        <f>L330*(1-0)</f>
        <v>0</v>
      </c>
      <c r="AQ330" s="59" t="s">
        <v>80</v>
      </c>
      <c r="AV330" s="33">
        <f>AW330+AX330</f>
        <v>0</v>
      </c>
      <c r="AW330" s="33">
        <f>K330*AO330</f>
        <v>0</v>
      </c>
      <c r="AX330" s="33">
        <f>K330*AP330</f>
        <v>0</v>
      </c>
      <c r="AY330" s="61" t="s">
        <v>1004</v>
      </c>
      <c r="AZ330" s="61" t="s">
        <v>1025</v>
      </c>
      <c r="BA330" s="58" t="s">
        <v>1037</v>
      </c>
      <c r="BC330" s="33">
        <f>AW330+AX330</f>
        <v>0</v>
      </c>
      <c r="BD330" s="33">
        <f>L330/(100-BE330)*100</f>
        <v>0</v>
      </c>
      <c r="BE330" s="33">
        <v>0</v>
      </c>
      <c r="BF330" s="33">
        <f>330</f>
        <v>330</v>
      </c>
      <c r="BH330" s="53">
        <f>K330*AO330</f>
        <v>0</v>
      </c>
      <c r="BI330" s="53">
        <f>K330*AP330</f>
        <v>0</v>
      </c>
      <c r="BJ330" s="53">
        <f>K330*L330</f>
        <v>0</v>
      </c>
      <c r="BK330" s="53" t="s">
        <v>1046</v>
      </c>
      <c r="BL330" s="33">
        <v>89</v>
      </c>
    </row>
    <row r="331" spans="1:14" ht="12.75">
      <c r="A331" s="17"/>
      <c r="D331" s="143" t="s">
        <v>611</v>
      </c>
      <c r="E331" s="144"/>
      <c r="F331" s="144"/>
      <c r="G331" s="144"/>
      <c r="H331" s="144"/>
      <c r="I331" s="144"/>
      <c r="K331" s="75">
        <v>47.57</v>
      </c>
      <c r="M331" s="14"/>
      <c r="N331" s="17"/>
    </row>
    <row r="332" spans="1:14" ht="12.75">
      <c r="A332" s="17"/>
      <c r="D332" s="143" t="s">
        <v>612</v>
      </c>
      <c r="E332" s="144"/>
      <c r="F332" s="144"/>
      <c r="G332" s="144"/>
      <c r="H332" s="144"/>
      <c r="I332" s="144"/>
      <c r="K332" s="75">
        <v>94.81</v>
      </c>
      <c r="M332" s="14"/>
      <c r="N332" s="17"/>
    </row>
    <row r="333" spans="1:64" ht="12.75">
      <c r="A333" s="38" t="s">
        <v>143</v>
      </c>
      <c r="B333" s="45" t="s">
        <v>61</v>
      </c>
      <c r="C333" s="45" t="s">
        <v>327</v>
      </c>
      <c r="D333" s="141" t="s">
        <v>708</v>
      </c>
      <c r="E333" s="142"/>
      <c r="F333" s="142"/>
      <c r="G333" s="142"/>
      <c r="H333" s="142"/>
      <c r="I333" s="142"/>
      <c r="J333" s="45" t="s">
        <v>968</v>
      </c>
      <c r="K333" s="74">
        <f>'Stavební rozpočet'!K333</f>
        <v>29.18</v>
      </c>
      <c r="L333" s="53">
        <f>'Stavební rozpočet'!L333</f>
        <v>0</v>
      </c>
      <c r="M333" s="65">
        <f>K333*L333</f>
        <v>0</v>
      </c>
      <c r="N333" s="17"/>
      <c r="Z333" s="33">
        <f>IF(AQ333="5",BJ333,0)</f>
        <v>0</v>
      </c>
      <c r="AB333" s="33">
        <f>IF(AQ333="1",BH333,0)</f>
        <v>0</v>
      </c>
      <c r="AC333" s="33">
        <f>IF(AQ333="1",BI333,0)</f>
        <v>0</v>
      </c>
      <c r="AD333" s="33">
        <f>IF(AQ333="7",BH333,0)</f>
        <v>0</v>
      </c>
      <c r="AE333" s="33">
        <f>IF(AQ333="7",BI333,0)</f>
        <v>0</v>
      </c>
      <c r="AF333" s="33">
        <f>IF(AQ333="2",BH333,0)</f>
        <v>0</v>
      </c>
      <c r="AG333" s="33">
        <f>IF(AQ333="2",BI333,0)</f>
        <v>0</v>
      </c>
      <c r="AH333" s="33">
        <f>IF(AQ333="0",BJ333,0)</f>
        <v>0</v>
      </c>
      <c r="AI333" s="58" t="s">
        <v>61</v>
      </c>
      <c r="AJ333" s="53">
        <f>IF(AN333=0,M333,0)</f>
        <v>0</v>
      </c>
      <c r="AK333" s="53">
        <f>IF(AN333=15,M333,0)</f>
        <v>0</v>
      </c>
      <c r="AL333" s="53">
        <f>IF(AN333=21,M333,0)</f>
        <v>0</v>
      </c>
      <c r="AN333" s="33">
        <v>21</v>
      </c>
      <c r="AO333" s="33">
        <f>L333*0</f>
        <v>0</v>
      </c>
      <c r="AP333" s="33">
        <f>L333*(1-0)</f>
        <v>0</v>
      </c>
      <c r="AQ333" s="59" t="s">
        <v>80</v>
      </c>
      <c r="AV333" s="33">
        <f>AW333+AX333</f>
        <v>0</v>
      </c>
      <c r="AW333" s="33">
        <f>K333*AO333</f>
        <v>0</v>
      </c>
      <c r="AX333" s="33">
        <f>K333*AP333</f>
        <v>0</v>
      </c>
      <c r="AY333" s="61" t="s">
        <v>1004</v>
      </c>
      <c r="AZ333" s="61" t="s">
        <v>1025</v>
      </c>
      <c r="BA333" s="58" t="s">
        <v>1037</v>
      </c>
      <c r="BC333" s="33">
        <f>AW333+AX333</f>
        <v>0</v>
      </c>
      <c r="BD333" s="33">
        <f>L333/(100-BE333)*100</f>
        <v>0</v>
      </c>
      <c r="BE333" s="33">
        <v>0</v>
      </c>
      <c r="BF333" s="33">
        <f>333</f>
        <v>333</v>
      </c>
      <c r="BH333" s="53">
        <f>K333*AO333</f>
        <v>0</v>
      </c>
      <c r="BI333" s="53">
        <f>K333*AP333</f>
        <v>0</v>
      </c>
      <c r="BJ333" s="53">
        <f>K333*L333</f>
        <v>0</v>
      </c>
      <c r="BK333" s="53" t="s">
        <v>1046</v>
      </c>
      <c r="BL333" s="33">
        <v>89</v>
      </c>
    </row>
    <row r="334" spans="1:14" ht="12.75">
      <c r="A334" s="17"/>
      <c r="D334" s="143" t="s">
        <v>613</v>
      </c>
      <c r="E334" s="144"/>
      <c r="F334" s="144"/>
      <c r="G334" s="144"/>
      <c r="H334" s="144"/>
      <c r="I334" s="144"/>
      <c r="K334" s="75">
        <v>22.18</v>
      </c>
      <c r="M334" s="14"/>
      <c r="N334" s="17"/>
    </row>
    <row r="335" spans="1:14" ht="12.75">
      <c r="A335" s="17"/>
      <c r="D335" s="143" t="s">
        <v>614</v>
      </c>
      <c r="E335" s="144"/>
      <c r="F335" s="144"/>
      <c r="G335" s="144"/>
      <c r="H335" s="144"/>
      <c r="I335" s="144"/>
      <c r="K335" s="75">
        <v>7</v>
      </c>
      <c r="M335" s="14"/>
      <c r="N335" s="17"/>
    </row>
    <row r="336" spans="1:64" ht="12.75">
      <c r="A336" s="38" t="s">
        <v>144</v>
      </c>
      <c r="B336" s="45" t="s">
        <v>61</v>
      </c>
      <c r="C336" s="45" t="s">
        <v>328</v>
      </c>
      <c r="D336" s="141" t="s">
        <v>709</v>
      </c>
      <c r="E336" s="142"/>
      <c r="F336" s="142"/>
      <c r="G336" s="142"/>
      <c r="H336" s="142"/>
      <c r="I336" s="142"/>
      <c r="J336" s="45" t="s">
        <v>968</v>
      </c>
      <c r="K336" s="74">
        <f>'Stavební rozpočet'!K336</f>
        <v>142.38</v>
      </c>
      <c r="L336" s="53">
        <f>'Stavební rozpočet'!L336</f>
        <v>0</v>
      </c>
      <c r="M336" s="65">
        <f>K336*L336</f>
        <v>0</v>
      </c>
      <c r="N336" s="17"/>
      <c r="Z336" s="33">
        <f>IF(AQ336="5",BJ336,0)</f>
        <v>0</v>
      </c>
      <c r="AB336" s="33">
        <f>IF(AQ336="1",BH336,0)</f>
        <v>0</v>
      </c>
      <c r="AC336" s="33">
        <f>IF(AQ336="1",BI336,0)</f>
        <v>0</v>
      </c>
      <c r="AD336" s="33">
        <f>IF(AQ336="7",BH336,0)</f>
        <v>0</v>
      </c>
      <c r="AE336" s="33">
        <f>IF(AQ336="7",BI336,0)</f>
        <v>0</v>
      </c>
      <c r="AF336" s="33">
        <f>IF(AQ336="2",BH336,0)</f>
        <v>0</v>
      </c>
      <c r="AG336" s="33">
        <f>IF(AQ336="2",BI336,0)</f>
        <v>0</v>
      </c>
      <c r="AH336" s="33">
        <f>IF(AQ336="0",BJ336,0)</f>
        <v>0</v>
      </c>
      <c r="AI336" s="58" t="s">
        <v>61</v>
      </c>
      <c r="AJ336" s="53">
        <f>IF(AN336=0,M336,0)</f>
        <v>0</v>
      </c>
      <c r="AK336" s="53">
        <f>IF(AN336=15,M336,0)</f>
        <v>0</v>
      </c>
      <c r="AL336" s="53">
        <f>IF(AN336=21,M336,0)</f>
        <v>0</v>
      </c>
      <c r="AN336" s="33">
        <v>21</v>
      </c>
      <c r="AO336" s="33">
        <f>L336*0</f>
        <v>0</v>
      </c>
      <c r="AP336" s="33">
        <f>L336*(1-0)</f>
        <v>0</v>
      </c>
      <c r="AQ336" s="59" t="s">
        <v>80</v>
      </c>
      <c r="AV336" s="33">
        <f>AW336+AX336</f>
        <v>0</v>
      </c>
      <c r="AW336" s="33">
        <f>K336*AO336</f>
        <v>0</v>
      </c>
      <c r="AX336" s="33">
        <f>K336*AP336</f>
        <v>0</v>
      </c>
      <c r="AY336" s="61" t="s">
        <v>1004</v>
      </c>
      <c r="AZ336" s="61" t="s">
        <v>1025</v>
      </c>
      <c r="BA336" s="58" t="s">
        <v>1037</v>
      </c>
      <c r="BC336" s="33">
        <f>AW336+AX336</f>
        <v>0</v>
      </c>
      <c r="BD336" s="33">
        <f>L336/(100-BE336)*100</f>
        <v>0</v>
      </c>
      <c r="BE336" s="33">
        <v>0</v>
      </c>
      <c r="BF336" s="33">
        <f>336</f>
        <v>336</v>
      </c>
      <c r="BH336" s="53">
        <f>K336*AO336</f>
        <v>0</v>
      </c>
      <c r="BI336" s="53">
        <f>K336*AP336</f>
        <v>0</v>
      </c>
      <c r="BJ336" s="53">
        <f>K336*L336</f>
        <v>0</v>
      </c>
      <c r="BK336" s="53" t="s">
        <v>1046</v>
      </c>
      <c r="BL336" s="33">
        <v>89</v>
      </c>
    </row>
    <row r="337" spans="1:14" ht="12.75">
      <c r="A337" s="17"/>
      <c r="D337" s="143" t="s">
        <v>611</v>
      </c>
      <c r="E337" s="144"/>
      <c r="F337" s="144"/>
      <c r="G337" s="144"/>
      <c r="H337" s="144"/>
      <c r="I337" s="144"/>
      <c r="K337" s="75">
        <v>47.57</v>
      </c>
      <c r="M337" s="14"/>
      <c r="N337" s="17"/>
    </row>
    <row r="338" spans="1:14" ht="12.75">
      <c r="A338" s="17"/>
      <c r="D338" s="143" t="s">
        <v>612</v>
      </c>
      <c r="E338" s="144"/>
      <c r="F338" s="144"/>
      <c r="G338" s="144"/>
      <c r="H338" s="144"/>
      <c r="I338" s="144"/>
      <c r="K338" s="75">
        <v>94.81</v>
      </c>
      <c r="M338" s="14"/>
      <c r="N338" s="17"/>
    </row>
    <row r="339" spans="1:64" ht="12.75">
      <c r="A339" s="38" t="s">
        <v>145</v>
      </c>
      <c r="B339" s="45" t="s">
        <v>61</v>
      </c>
      <c r="C339" s="45" t="s">
        <v>329</v>
      </c>
      <c r="D339" s="141" t="s">
        <v>710</v>
      </c>
      <c r="E339" s="142"/>
      <c r="F339" s="142"/>
      <c r="G339" s="142"/>
      <c r="H339" s="142"/>
      <c r="I339" s="142"/>
      <c r="J339" s="45" t="s">
        <v>968</v>
      </c>
      <c r="K339" s="74">
        <f>'Stavební rozpočet'!K339</f>
        <v>29.18</v>
      </c>
      <c r="L339" s="53">
        <f>'Stavební rozpočet'!L339</f>
        <v>0</v>
      </c>
      <c r="M339" s="65">
        <f>K339*L339</f>
        <v>0</v>
      </c>
      <c r="N339" s="17"/>
      <c r="Z339" s="33">
        <f>IF(AQ339="5",BJ339,0)</f>
        <v>0</v>
      </c>
      <c r="AB339" s="33">
        <f>IF(AQ339="1",BH339,0)</f>
        <v>0</v>
      </c>
      <c r="AC339" s="33">
        <f>IF(AQ339="1",BI339,0)</f>
        <v>0</v>
      </c>
      <c r="AD339" s="33">
        <f>IF(AQ339="7",BH339,0)</f>
        <v>0</v>
      </c>
      <c r="AE339" s="33">
        <f>IF(AQ339="7",BI339,0)</f>
        <v>0</v>
      </c>
      <c r="AF339" s="33">
        <f>IF(AQ339="2",BH339,0)</f>
        <v>0</v>
      </c>
      <c r="AG339" s="33">
        <f>IF(AQ339="2",BI339,0)</f>
        <v>0</v>
      </c>
      <c r="AH339" s="33">
        <f>IF(AQ339="0",BJ339,0)</f>
        <v>0</v>
      </c>
      <c r="AI339" s="58" t="s">
        <v>61</v>
      </c>
      <c r="AJ339" s="53">
        <f>IF(AN339=0,M339,0)</f>
        <v>0</v>
      </c>
      <c r="AK339" s="53">
        <f>IF(AN339=15,M339,0)</f>
        <v>0</v>
      </c>
      <c r="AL339" s="53">
        <f>IF(AN339=21,M339,0)</f>
        <v>0</v>
      </c>
      <c r="AN339" s="33">
        <v>21</v>
      </c>
      <c r="AO339" s="33">
        <f>L339*0</f>
        <v>0</v>
      </c>
      <c r="AP339" s="33">
        <f>L339*(1-0)</f>
        <v>0</v>
      </c>
      <c r="AQ339" s="59" t="s">
        <v>80</v>
      </c>
      <c r="AV339" s="33">
        <f>AW339+AX339</f>
        <v>0</v>
      </c>
      <c r="AW339" s="33">
        <f>K339*AO339</f>
        <v>0</v>
      </c>
      <c r="AX339" s="33">
        <f>K339*AP339</f>
        <v>0</v>
      </c>
      <c r="AY339" s="61" t="s">
        <v>1004</v>
      </c>
      <c r="AZ339" s="61" t="s">
        <v>1025</v>
      </c>
      <c r="BA339" s="58" t="s">
        <v>1037</v>
      </c>
      <c r="BC339" s="33">
        <f>AW339+AX339</f>
        <v>0</v>
      </c>
      <c r="BD339" s="33">
        <f>L339/(100-BE339)*100</f>
        <v>0</v>
      </c>
      <c r="BE339" s="33">
        <v>0</v>
      </c>
      <c r="BF339" s="33">
        <f>339</f>
        <v>339</v>
      </c>
      <c r="BH339" s="53">
        <f>K339*AO339</f>
        <v>0</v>
      </c>
      <c r="BI339" s="53">
        <f>K339*AP339</f>
        <v>0</v>
      </c>
      <c r="BJ339" s="53">
        <f>K339*L339</f>
        <v>0</v>
      </c>
      <c r="BK339" s="53" t="s">
        <v>1046</v>
      </c>
      <c r="BL339" s="33">
        <v>89</v>
      </c>
    </row>
    <row r="340" spans="1:14" ht="12.75">
      <c r="A340" s="17"/>
      <c r="D340" s="143" t="s">
        <v>613</v>
      </c>
      <c r="E340" s="144"/>
      <c r="F340" s="144"/>
      <c r="G340" s="144"/>
      <c r="H340" s="144"/>
      <c r="I340" s="144"/>
      <c r="K340" s="75">
        <v>22.18</v>
      </c>
      <c r="M340" s="14"/>
      <c r="N340" s="17"/>
    </row>
    <row r="341" spans="1:14" ht="12.75">
      <c r="A341" s="17"/>
      <c r="D341" s="143" t="s">
        <v>614</v>
      </c>
      <c r="E341" s="144"/>
      <c r="F341" s="144"/>
      <c r="G341" s="144"/>
      <c r="H341" s="144"/>
      <c r="I341" s="144"/>
      <c r="K341" s="75">
        <v>7</v>
      </c>
      <c r="M341" s="14"/>
      <c r="N341" s="17"/>
    </row>
    <row r="342" spans="1:64" ht="12.75">
      <c r="A342" s="38" t="s">
        <v>146</v>
      </c>
      <c r="B342" s="45" t="s">
        <v>61</v>
      </c>
      <c r="C342" s="45" t="s">
        <v>330</v>
      </c>
      <c r="D342" s="141" t="s">
        <v>711</v>
      </c>
      <c r="E342" s="142"/>
      <c r="F342" s="142"/>
      <c r="G342" s="142"/>
      <c r="H342" s="142"/>
      <c r="I342" s="142"/>
      <c r="J342" s="45" t="s">
        <v>975</v>
      </c>
      <c r="K342" s="74">
        <f>'Stavební rozpočet'!K342</f>
        <v>1</v>
      </c>
      <c r="L342" s="53">
        <f>'Stavební rozpočet'!L342</f>
        <v>0</v>
      </c>
      <c r="M342" s="65">
        <f>K342*L342</f>
        <v>0</v>
      </c>
      <c r="N342" s="17"/>
      <c r="Z342" s="33">
        <f>IF(AQ342="5",BJ342,0)</f>
        <v>0</v>
      </c>
      <c r="AB342" s="33">
        <f>IF(AQ342="1",BH342,0)</f>
        <v>0</v>
      </c>
      <c r="AC342" s="33">
        <f>IF(AQ342="1",BI342,0)</f>
        <v>0</v>
      </c>
      <c r="AD342" s="33">
        <f>IF(AQ342="7",BH342,0)</f>
        <v>0</v>
      </c>
      <c r="AE342" s="33">
        <f>IF(AQ342="7",BI342,0)</f>
        <v>0</v>
      </c>
      <c r="AF342" s="33">
        <f>IF(AQ342="2",BH342,0)</f>
        <v>0</v>
      </c>
      <c r="AG342" s="33">
        <f>IF(AQ342="2",BI342,0)</f>
        <v>0</v>
      </c>
      <c r="AH342" s="33">
        <f>IF(AQ342="0",BJ342,0)</f>
        <v>0</v>
      </c>
      <c r="AI342" s="58" t="s">
        <v>61</v>
      </c>
      <c r="AJ342" s="53">
        <f>IF(AN342=0,M342,0)</f>
        <v>0</v>
      </c>
      <c r="AK342" s="53">
        <f>IF(AN342=15,M342,0)</f>
        <v>0</v>
      </c>
      <c r="AL342" s="53">
        <f>IF(AN342=21,M342,0)</f>
        <v>0</v>
      </c>
      <c r="AN342" s="33">
        <v>21</v>
      </c>
      <c r="AO342" s="33">
        <f>L342*0.110279069767442</f>
        <v>0</v>
      </c>
      <c r="AP342" s="33">
        <f>L342*(1-0.110279069767442)</f>
        <v>0</v>
      </c>
      <c r="AQ342" s="59" t="s">
        <v>80</v>
      </c>
      <c r="AV342" s="33">
        <f>AW342+AX342</f>
        <v>0</v>
      </c>
      <c r="AW342" s="33">
        <f>K342*AO342</f>
        <v>0</v>
      </c>
      <c r="AX342" s="33">
        <f>K342*AP342</f>
        <v>0</v>
      </c>
      <c r="AY342" s="61" t="s">
        <v>1004</v>
      </c>
      <c r="AZ342" s="61" t="s">
        <v>1025</v>
      </c>
      <c r="BA342" s="58" t="s">
        <v>1037</v>
      </c>
      <c r="BC342" s="33">
        <f>AW342+AX342</f>
        <v>0</v>
      </c>
      <c r="BD342" s="33">
        <f>L342/(100-BE342)*100</f>
        <v>0</v>
      </c>
      <c r="BE342" s="33">
        <v>0</v>
      </c>
      <c r="BF342" s="33">
        <f>342</f>
        <v>342</v>
      </c>
      <c r="BH342" s="53">
        <f>K342*AO342</f>
        <v>0</v>
      </c>
      <c r="BI342" s="53">
        <f>K342*AP342</f>
        <v>0</v>
      </c>
      <c r="BJ342" s="53">
        <f>K342*L342</f>
        <v>0</v>
      </c>
      <c r="BK342" s="53" t="s">
        <v>1046</v>
      </c>
      <c r="BL342" s="33">
        <v>89</v>
      </c>
    </row>
    <row r="343" spans="1:14" ht="12.75">
      <c r="A343" s="17"/>
      <c r="D343" s="143" t="s">
        <v>712</v>
      </c>
      <c r="E343" s="144"/>
      <c r="F343" s="144"/>
      <c r="G343" s="144"/>
      <c r="H343" s="144"/>
      <c r="I343" s="144"/>
      <c r="K343" s="75">
        <v>1</v>
      </c>
      <c r="M343" s="14"/>
      <c r="N343" s="17"/>
    </row>
    <row r="344" spans="1:64" ht="12.75">
      <c r="A344" s="38" t="s">
        <v>147</v>
      </c>
      <c r="B344" s="45" t="s">
        <v>61</v>
      </c>
      <c r="C344" s="45" t="s">
        <v>331</v>
      </c>
      <c r="D344" s="141" t="s">
        <v>713</v>
      </c>
      <c r="E344" s="142"/>
      <c r="F344" s="142"/>
      <c r="G344" s="142"/>
      <c r="H344" s="142"/>
      <c r="I344" s="142"/>
      <c r="J344" s="45" t="s">
        <v>975</v>
      </c>
      <c r="K344" s="74">
        <f>'Stavební rozpočet'!K344</f>
        <v>1</v>
      </c>
      <c r="L344" s="53">
        <f>'Stavební rozpočet'!L344</f>
        <v>0</v>
      </c>
      <c r="M344" s="65">
        <f>K344*L344</f>
        <v>0</v>
      </c>
      <c r="N344" s="17"/>
      <c r="Z344" s="33">
        <f>IF(AQ344="5",BJ344,0)</f>
        <v>0</v>
      </c>
      <c r="AB344" s="33">
        <f>IF(AQ344="1",BH344,0)</f>
        <v>0</v>
      </c>
      <c r="AC344" s="33">
        <f>IF(AQ344="1",BI344,0)</f>
        <v>0</v>
      </c>
      <c r="AD344" s="33">
        <f>IF(AQ344="7",BH344,0)</f>
        <v>0</v>
      </c>
      <c r="AE344" s="33">
        <f>IF(AQ344="7",BI344,0)</f>
        <v>0</v>
      </c>
      <c r="AF344" s="33">
        <f>IF(AQ344="2",BH344,0)</f>
        <v>0</v>
      </c>
      <c r="AG344" s="33">
        <f>IF(AQ344="2",BI344,0)</f>
        <v>0</v>
      </c>
      <c r="AH344" s="33">
        <f>IF(AQ344="0",BJ344,0)</f>
        <v>0</v>
      </c>
      <c r="AI344" s="58" t="s">
        <v>61</v>
      </c>
      <c r="AJ344" s="53">
        <f>IF(AN344=0,M344,0)</f>
        <v>0</v>
      </c>
      <c r="AK344" s="53">
        <f>IF(AN344=15,M344,0)</f>
        <v>0</v>
      </c>
      <c r="AL344" s="53">
        <f>IF(AN344=21,M344,0)</f>
        <v>0</v>
      </c>
      <c r="AN344" s="33">
        <v>21</v>
      </c>
      <c r="AO344" s="33">
        <f>L344*0.528697840218075</f>
        <v>0</v>
      </c>
      <c r="AP344" s="33">
        <f>L344*(1-0.528697840218075)</f>
        <v>0</v>
      </c>
      <c r="AQ344" s="59" t="s">
        <v>80</v>
      </c>
      <c r="AV344" s="33">
        <f>AW344+AX344</f>
        <v>0</v>
      </c>
      <c r="AW344" s="33">
        <f>K344*AO344</f>
        <v>0</v>
      </c>
      <c r="AX344" s="33">
        <f>K344*AP344</f>
        <v>0</v>
      </c>
      <c r="AY344" s="61" t="s">
        <v>1004</v>
      </c>
      <c r="AZ344" s="61" t="s">
        <v>1025</v>
      </c>
      <c r="BA344" s="58" t="s">
        <v>1037</v>
      </c>
      <c r="BC344" s="33">
        <f>AW344+AX344</f>
        <v>0</v>
      </c>
      <c r="BD344" s="33">
        <f>L344/(100-BE344)*100</f>
        <v>0</v>
      </c>
      <c r="BE344" s="33">
        <v>0</v>
      </c>
      <c r="BF344" s="33">
        <f>344</f>
        <v>344</v>
      </c>
      <c r="BH344" s="53">
        <f>K344*AO344</f>
        <v>0</v>
      </c>
      <c r="BI344" s="53">
        <f>K344*AP344</f>
        <v>0</v>
      </c>
      <c r="BJ344" s="53">
        <f>K344*L344</f>
        <v>0</v>
      </c>
      <c r="BK344" s="53" t="s">
        <v>1046</v>
      </c>
      <c r="BL344" s="33">
        <v>89</v>
      </c>
    </row>
    <row r="345" spans="1:14" ht="12.75">
      <c r="A345" s="17"/>
      <c r="D345" s="143" t="s">
        <v>712</v>
      </c>
      <c r="E345" s="144"/>
      <c r="F345" s="144"/>
      <c r="G345" s="144"/>
      <c r="H345" s="144"/>
      <c r="I345" s="144"/>
      <c r="K345" s="75">
        <v>1</v>
      </c>
      <c r="M345" s="14"/>
      <c r="N345" s="17"/>
    </row>
    <row r="346" spans="1:64" ht="12.75">
      <c r="A346" s="38" t="s">
        <v>148</v>
      </c>
      <c r="B346" s="45" t="s">
        <v>61</v>
      </c>
      <c r="C346" s="45" t="s">
        <v>332</v>
      </c>
      <c r="D346" s="141" t="s">
        <v>714</v>
      </c>
      <c r="E346" s="142"/>
      <c r="F346" s="142"/>
      <c r="G346" s="142"/>
      <c r="H346" s="142"/>
      <c r="I346" s="142"/>
      <c r="J346" s="45" t="s">
        <v>975</v>
      </c>
      <c r="K346" s="74">
        <f>'Stavební rozpočet'!K346</f>
        <v>3</v>
      </c>
      <c r="L346" s="53">
        <f>'Stavební rozpočet'!L346</f>
        <v>0</v>
      </c>
      <c r="M346" s="65">
        <f>K346*L346</f>
        <v>0</v>
      </c>
      <c r="N346" s="17"/>
      <c r="Z346" s="33">
        <f>IF(AQ346="5",BJ346,0)</f>
        <v>0</v>
      </c>
      <c r="AB346" s="33">
        <f>IF(AQ346="1",BH346,0)</f>
        <v>0</v>
      </c>
      <c r="AC346" s="33">
        <f>IF(AQ346="1",BI346,0)</f>
        <v>0</v>
      </c>
      <c r="AD346" s="33">
        <f>IF(AQ346="7",BH346,0)</f>
        <v>0</v>
      </c>
      <c r="AE346" s="33">
        <f>IF(AQ346="7",BI346,0)</f>
        <v>0</v>
      </c>
      <c r="AF346" s="33">
        <f>IF(AQ346="2",BH346,0)</f>
        <v>0</v>
      </c>
      <c r="AG346" s="33">
        <f>IF(AQ346="2",BI346,0)</f>
        <v>0</v>
      </c>
      <c r="AH346" s="33">
        <f>IF(AQ346="0",BJ346,0)</f>
        <v>0</v>
      </c>
      <c r="AI346" s="58" t="s">
        <v>61</v>
      </c>
      <c r="AJ346" s="53">
        <f>IF(AN346=0,M346,0)</f>
        <v>0</v>
      </c>
      <c r="AK346" s="53">
        <f>IF(AN346=15,M346,0)</f>
        <v>0</v>
      </c>
      <c r="AL346" s="53">
        <f>IF(AN346=21,M346,0)</f>
        <v>0</v>
      </c>
      <c r="AN346" s="33">
        <v>21</v>
      </c>
      <c r="AO346" s="33">
        <f>L346*0.891001107419712</f>
        <v>0</v>
      </c>
      <c r="AP346" s="33">
        <f>L346*(1-0.891001107419712)</f>
        <v>0</v>
      </c>
      <c r="AQ346" s="59" t="s">
        <v>80</v>
      </c>
      <c r="AV346" s="33">
        <f>AW346+AX346</f>
        <v>0</v>
      </c>
      <c r="AW346" s="33">
        <f>K346*AO346</f>
        <v>0</v>
      </c>
      <c r="AX346" s="33">
        <f>K346*AP346</f>
        <v>0</v>
      </c>
      <c r="AY346" s="61" t="s">
        <v>1004</v>
      </c>
      <c r="AZ346" s="61" t="s">
        <v>1025</v>
      </c>
      <c r="BA346" s="58" t="s">
        <v>1037</v>
      </c>
      <c r="BC346" s="33">
        <f>AW346+AX346</f>
        <v>0</v>
      </c>
      <c r="BD346" s="33">
        <f>L346/(100-BE346)*100</f>
        <v>0</v>
      </c>
      <c r="BE346" s="33">
        <v>0</v>
      </c>
      <c r="BF346" s="33">
        <f>346</f>
        <v>346</v>
      </c>
      <c r="BH346" s="53">
        <f>K346*AO346</f>
        <v>0</v>
      </c>
      <c r="BI346" s="53">
        <f>K346*AP346</f>
        <v>0</v>
      </c>
      <c r="BJ346" s="53">
        <f>K346*L346</f>
        <v>0</v>
      </c>
      <c r="BK346" s="53" t="s">
        <v>1046</v>
      </c>
      <c r="BL346" s="33">
        <v>89</v>
      </c>
    </row>
    <row r="347" spans="1:14" ht="12.75">
      <c r="A347" s="17"/>
      <c r="C347" s="48" t="s">
        <v>269</v>
      </c>
      <c r="D347" s="145" t="s">
        <v>715</v>
      </c>
      <c r="E347" s="146"/>
      <c r="F347" s="146"/>
      <c r="G347" s="146"/>
      <c r="H347" s="146"/>
      <c r="I347" s="146"/>
      <c r="J347" s="146"/>
      <c r="K347" s="146"/>
      <c r="L347" s="146"/>
      <c r="M347" s="147"/>
      <c r="N347" s="17"/>
    </row>
    <row r="348" spans="1:14" ht="12.75">
      <c r="A348" s="17"/>
      <c r="D348" s="143" t="s">
        <v>716</v>
      </c>
      <c r="E348" s="144"/>
      <c r="F348" s="144"/>
      <c r="G348" s="144"/>
      <c r="H348" s="144"/>
      <c r="I348" s="144"/>
      <c r="K348" s="75">
        <v>1</v>
      </c>
      <c r="M348" s="14"/>
      <c r="N348" s="17"/>
    </row>
    <row r="349" spans="1:14" ht="12.75">
      <c r="A349" s="17"/>
      <c r="D349" s="143" t="s">
        <v>717</v>
      </c>
      <c r="E349" s="144"/>
      <c r="F349" s="144"/>
      <c r="G349" s="144"/>
      <c r="H349" s="144"/>
      <c r="I349" s="144"/>
      <c r="K349" s="75">
        <v>1</v>
      </c>
      <c r="M349" s="14"/>
      <c r="N349" s="17"/>
    </row>
    <row r="350" spans="1:14" ht="12.75">
      <c r="A350" s="17"/>
      <c r="D350" s="143" t="s">
        <v>718</v>
      </c>
      <c r="E350" s="144"/>
      <c r="F350" s="144"/>
      <c r="G350" s="144"/>
      <c r="H350" s="144"/>
      <c r="I350" s="144"/>
      <c r="K350" s="75">
        <v>1</v>
      </c>
      <c r="M350" s="14"/>
      <c r="N350" s="17"/>
    </row>
    <row r="351" spans="1:64" ht="12.75">
      <c r="A351" s="38" t="s">
        <v>149</v>
      </c>
      <c r="B351" s="45" t="s">
        <v>61</v>
      </c>
      <c r="C351" s="45" t="s">
        <v>333</v>
      </c>
      <c r="D351" s="141" t="s">
        <v>719</v>
      </c>
      <c r="E351" s="142"/>
      <c r="F351" s="142"/>
      <c r="G351" s="142"/>
      <c r="H351" s="142"/>
      <c r="I351" s="142"/>
      <c r="J351" s="45" t="s">
        <v>975</v>
      </c>
      <c r="K351" s="74">
        <f>'Stavební rozpočet'!K351</f>
        <v>2</v>
      </c>
      <c r="L351" s="53">
        <f>'Stavební rozpočet'!L351</f>
        <v>0</v>
      </c>
      <c r="M351" s="65">
        <f>K351*L351</f>
        <v>0</v>
      </c>
      <c r="N351" s="17"/>
      <c r="Z351" s="33">
        <f>IF(AQ351="5",BJ351,0)</f>
        <v>0</v>
      </c>
      <c r="AB351" s="33">
        <f>IF(AQ351="1",BH351,0)</f>
        <v>0</v>
      </c>
      <c r="AC351" s="33">
        <f>IF(AQ351="1",BI351,0)</f>
        <v>0</v>
      </c>
      <c r="AD351" s="33">
        <f>IF(AQ351="7",BH351,0)</f>
        <v>0</v>
      </c>
      <c r="AE351" s="33">
        <f>IF(AQ351="7",BI351,0)</f>
        <v>0</v>
      </c>
      <c r="AF351" s="33">
        <f>IF(AQ351="2",BH351,0)</f>
        <v>0</v>
      </c>
      <c r="AG351" s="33">
        <f>IF(AQ351="2",BI351,0)</f>
        <v>0</v>
      </c>
      <c r="AH351" s="33">
        <f>IF(AQ351="0",BJ351,0)</f>
        <v>0</v>
      </c>
      <c r="AI351" s="58" t="s">
        <v>61</v>
      </c>
      <c r="AJ351" s="53">
        <f>IF(AN351=0,M351,0)</f>
        <v>0</v>
      </c>
      <c r="AK351" s="53">
        <f>IF(AN351=15,M351,0)</f>
        <v>0</v>
      </c>
      <c r="AL351" s="53">
        <f>IF(AN351=21,M351,0)</f>
        <v>0</v>
      </c>
      <c r="AN351" s="33">
        <v>21</v>
      </c>
      <c r="AO351" s="33">
        <f>L351*0.906424088210348</f>
        <v>0</v>
      </c>
      <c r="AP351" s="33">
        <f>L351*(1-0.906424088210348)</f>
        <v>0</v>
      </c>
      <c r="AQ351" s="59" t="s">
        <v>80</v>
      </c>
      <c r="AV351" s="33">
        <f>AW351+AX351</f>
        <v>0</v>
      </c>
      <c r="AW351" s="33">
        <f>K351*AO351</f>
        <v>0</v>
      </c>
      <c r="AX351" s="33">
        <f>K351*AP351</f>
        <v>0</v>
      </c>
      <c r="AY351" s="61" t="s">
        <v>1004</v>
      </c>
      <c r="AZ351" s="61" t="s">
        <v>1025</v>
      </c>
      <c r="BA351" s="58" t="s">
        <v>1037</v>
      </c>
      <c r="BC351" s="33">
        <f>AW351+AX351</f>
        <v>0</v>
      </c>
      <c r="BD351" s="33">
        <f>L351/(100-BE351)*100</f>
        <v>0</v>
      </c>
      <c r="BE351" s="33">
        <v>0</v>
      </c>
      <c r="BF351" s="33">
        <f>351</f>
        <v>351</v>
      </c>
      <c r="BH351" s="53">
        <f>K351*AO351</f>
        <v>0</v>
      </c>
      <c r="BI351" s="53">
        <f>K351*AP351</f>
        <v>0</v>
      </c>
      <c r="BJ351" s="53">
        <f>K351*L351</f>
        <v>0</v>
      </c>
      <c r="BK351" s="53" t="s">
        <v>1046</v>
      </c>
      <c r="BL351" s="33">
        <v>89</v>
      </c>
    </row>
    <row r="352" spans="1:14" ht="12.75">
      <c r="A352" s="17"/>
      <c r="C352" s="48" t="s">
        <v>269</v>
      </c>
      <c r="D352" s="145" t="s">
        <v>720</v>
      </c>
      <c r="E352" s="146"/>
      <c r="F352" s="146"/>
      <c r="G352" s="146"/>
      <c r="H352" s="146"/>
      <c r="I352" s="146"/>
      <c r="J352" s="146"/>
      <c r="K352" s="146"/>
      <c r="L352" s="146"/>
      <c r="M352" s="147"/>
      <c r="N352" s="17"/>
    </row>
    <row r="353" spans="1:14" ht="12.75">
      <c r="A353" s="17"/>
      <c r="D353" s="143" t="s">
        <v>677</v>
      </c>
      <c r="E353" s="144"/>
      <c r="F353" s="144"/>
      <c r="G353" s="144"/>
      <c r="H353" s="144"/>
      <c r="I353" s="144"/>
      <c r="K353" s="75">
        <v>1</v>
      </c>
      <c r="M353" s="14"/>
      <c r="N353" s="17"/>
    </row>
    <row r="354" spans="1:14" ht="12.75">
      <c r="A354" s="17"/>
      <c r="D354" s="143" t="s">
        <v>678</v>
      </c>
      <c r="E354" s="144"/>
      <c r="F354" s="144"/>
      <c r="G354" s="144"/>
      <c r="H354" s="144"/>
      <c r="I354" s="144"/>
      <c r="K354" s="75">
        <v>1</v>
      </c>
      <c r="M354" s="14"/>
      <c r="N354" s="17"/>
    </row>
    <row r="355" spans="1:64" ht="12.75">
      <c r="A355" s="38" t="s">
        <v>150</v>
      </c>
      <c r="B355" s="45" t="s">
        <v>61</v>
      </c>
      <c r="C355" s="45" t="s">
        <v>334</v>
      </c>
      <c r="D355" s="141" t="s">
        <v>721</v>
      </c>
      <c r="E355" s="142"/>
      <c r="F355" s="142"/>
      <c r="G355" s="142"/>
      <c r="H355" s="142"/>
      <c r="I355" s="142"/>
      <c r="J355" s="45" t="s">
        <v>975</v>
      </c>
      <c r="K355" s="74">
        <f>'Stavební rozpočet'!K355</f>
        <v>3</v>
      </c>
      <c r="L355" s="53">
        <f>'Stavební rozpočet'!L355</f>
        <v>0</v>
      </c>
      <c r="M355" s="65">
        <f>K355*L355</f>
        <v>0</v>
      </c>
      <c r="N355" s="17"/>
      <c r="Z355" s="33">
        <f>IF(AQ355="5",BJ355,0)</f>
        <v>0</v>
      </c>
      <c r="AB355" s="33">
        <f>IF(AQ355="1",BH355,0)</f>
        <v>0</v>
      </c>
      <c r="AC355" s="33">
        <f>IF(AQ355="1",BI355,0)</f>
        <v>0</v>
      </c>
      <c r="AD355" s="33">
        <f>IF(AQ355="7",BH355,0)</f>
        <v>0</v>
      </c>
      <c r="AE355" s="33">
        <f>IF(AQ355="7",BI355,0)</f>
        <v>0</v>
      </c>
      <c r="AF355" s="33">
        <f>IF(AQ355="2",BH355,0)</f>
        <v>0</v>
      </c>
      <c r="AG355" s="33">
        <f>IF(AQ355="2",BI355,0)</f>
        <v>0</v>
      </c>
      <c r="AH355" s="33">
        <f>IF(AQ355="0",BJ355,0)</f>
        <v>0</v>
      </c>
      <c r="AI355" s="58" t="s">
        <v>61</v>
      </c>
      <c r="AJ355" s="53">
        <f>IF(AN355=0,M355,0)</f>
        <v>0</v>
      </c>
      <c r="AK355" s="53">
        <f>IF(AN355=15,M355,0)</f>
        <v>0</v>
      </c>
      <c r="AL355" s="53">
        <f>IF(AN355=21,M355,0)</f>
        <v>0</v>
      </c>
      <c r="AN355" s="33">
        <v>21</v>
      </c>
      <c r="AO355" s="33">
        <f>L355*0.919473354930712</f>
        <v>0</v>
      </c>
      <c r="AP355" s="33">
        <f>L355*(1-0.919473354930712)</f>
        <v>0</v>
      </c>
      <c r="AQ355" s="59" t="s">
        <v>80</v>
      </c>
      <c r="AV355" s="33">
        <f>AW355+AX355</f>
        <v>0</v>
      </c>
      <c r="AW355" s="33">
        <f>K355*AO355</f>
        <v>0</v>
      </c>
      <c r="AX355" s="33">
        <f>K355*AP355</f>
        <v>0</v>
      </c>
      <c r="AY355" s="61" t="s">
        <v>1004</v>
      </c>
      <c r="AZ355" s="61" t="s">
        <v>1025</v>
      </c>
      <c r="BA355" s="58" t="s">
        <v>1037</v>
      </c>
      <c r="BC355" s="33">
        <f>AW355+AX355</f>
        <v>0</v>
      </c>
      <c r="BD355" s="33">
        <f>L355/(100-BE355)*100</f>
        <v>0</v>
      </c>
      <c r="BE355" s="33">
        <v>0</v>
      </c>
      <c r="BF355" s="33">
        <f>355</f>
        <v>355</v>
      </c>
      <c r="BH355" s="53">
        <f>K355*AO355</f>
        <v>0</v>
      </c>
      <c r="BI355" s="53">
        <f>K355*AP355</f>
        <v>0</v>
      </c>
      <c r="BJ355" s="53">
        <f>K355*L355</f>
        <v>0</v>
      </c>
      <c r="BK355" s="53" t="s">
        <v>1046</v>
      </c>
      <c r="BL355" s="33">
        <v>89</v>
      </c>
    </row>
    <row r="356" spans="1:14" ht="12.75">
      <c r="A356" s="17"/>
      <c r="C356" s="48" t="s">
        <v>269</v>
      </c>
      <c r="D356" s="145" t="s">
        <v>722</v>
      </c>
      <c r="E356" s="146"/>
      <c r="F356" s="146"/>
      <c r="G356" s="146"/>
      <c r="H356" s="146"/>
      <c r="I356" s="146"/>
      <c r="J356" s="146"/>
      <c r="K356" s="146"/>
      <c r="L356" s="146"/>
      <c r="M356" s="147"/>
      <c r="N356" s="17"/>
    </row>
    <row r="357" spans="1:14" ht="12.75">
      <c r="A357" s="17"/>
      <c r="D357" s="143" t="s">
        <v>673</v>
      </c>
      <c r="E357" s="144"/>
      <c r="F357" s="144"/>
      <c r="G357" s="144"/>
      <c r="H357" s="144"/>
      <c r="I357" s="144"/>
      <c r="K357" s="75">
        <v>1</v>
      </c>
      <c r="M357" s="14"/>
      <c r="N357" s="17"/>
    </row>
    <row r="358" spans="1:14" ht="12.75">
      <c r="A358" s="17"/>
      <c r="D358" s="143" t="s">
        <v>674</v>
      </c>
      <c r="E358" s="144"/>
      <c r="F358" s="144"/>
      <c r="G358" s="144"/>
      <c r="H358" s="144"/>
      <c r="I358" s="144"/>
      <c r="K358" s="75">
        <v>1</v>
      </c>
      <c r="M358" s="14"/>
      <c r="N358" s="17"/>
    </row>
    <row r="359" spans="1:14" ht="12.75">
      <c r="A359" s="17"/>
      <c r="D359" s="143" t="s">
        <v>723</v>
      </c>
      <c r="E359" s="144"/>
      <c r="F359" s="144"/>
      <c r="G359" s="144"/>
      <c r="H359" s="144"/>
      <c r="I359" s="144"/>
      <c r="K359" s="75">
        <v>1</v>
      </c>
      <c r="M359" s="14"/>
      <c r="N359" s="17"/>
    </row>
    <row r="360" spans="1:64" ht="12.75">
      <c r="A360" s="38" t="s">
        <v>151</v>
      </c>
      <c r="B360" s="45" t="s">
        <v>61</v>
      </c>
      <c r="C360" s="45" t="s">
        <v>335</v>
      </c>
      <c r="D360" s="141" t="s">
        <v>724</v>
      </c>
      <c r="E360" s="142"/>
      <c r="F360" s="142"/>
      <c r="G360" s="142"/>
      <c r="H360" s="142"/>
      <c r="I360" s="142"/>
      <c r="J360" s="45" t="s">
        <v>975</v>
      </c>
      <c r="K360" s="74">
        <f>'Stavební rozpočet'!K360</f>
        <v>1</v>
      </c>
      <c r="L360" s="53">
        <f>'Stavební rozpočet'!L360</f>
        <v>0</v>
      </c>
      <c r="M360" s="65">
        <f>K360*L360</f>
        <v>0</v>
      </c>
      <c r="N360" s="17"/>
      <c r="Z360" s="33">
        <f>IF(AQ360="5",BJ360,0)</f>
        <v>0</v>
      </c>
      <c r="AB360" s="33">
        <f>IF(AQ360="1",BH360,0)</f>
        <v>0</v>
      </c>
      <c r="AC360" s="33">
        <f>IF(AQ360="1",BI360,0)</f>
        <v>0</v>
      </c>
      <c r="AD360" s="33">
        <f>IF(AQ360="7",BH360,0)</f>
        <v>0</v>
      </c>
      <c r="AE360" s="33">
        <f>IF(AQ360="7",BI360,0)</f>
        <v>0</v>
      </c>
      <c r="AF360" s="33">
        <f>IF(AQ360="2",BH360,0)</f>
        <v>0</v>
      </c>
      <c r="AG360" s="33">
        <f>IF(AQ360="2",BI360,0)</f>
        <v>0</v>
      </c>
      <c r="AH360" s="33">
        <f>IF(AQ360="0",BJ360,0)</f>
        <v>0</v>
      </c>
      <c r="AI360" s="58" t="s">
        <v>61</v>
      </c>
      <c r="AJ360" s="53">
        <f>IF(AN360=0,M360,0)</f>
        <v>0</v>
      </c>
      <c r="AK360" s="53">
        <f>IF(AN360=15,M360,0)</f>
        <v>0</v>
      </c>
      <c r="AL360" s="53">
        <f>IF(AN360=21,M360,0)</f>
        <v>0</v>
      </c>
      <c r="AN360" s="33">
        <v>21</v>
      </c>
      <c r="AO360" s="33">
        <f>L360*0.915370799536501</f>
        <v>0</v>
      </c>
      <c r="AP360" s="33">
        <f>L360*(1-0.915370799536501)</f>
        <v>0</v>
      </c>
      <c r="AQ360" s="59" t="s">
        <v>80</v>
      </c>
      <c r="AV360" s="33">
        <f>AW360+AX360</f>
        <v>0</v>
      </c>
      <c r="AW360" s="33">
        <f>K360*AO360</f>
        <v>0</v>
      </c>
      <c r="AX360" s="33">
        <f>K360*AP360</f>
        <v>0</v>
      </c>
      <c r="AY360" s="61" t="s">
        <v>1004</v>
      </c>
      <c r="AZ360" s="61" t="s">
        <v>1025</v>
      </c>
      <c r="BA360" s="58" t="s">
        <v>1037</v>
      </c>
      <c r="BC360" s="33">
        <f>AW360+AX360</f>
        <v>0</v>
      </c>
      <c r="BD360" s="33">
        <f>L360/(100-BE360)*100</f>
        <v>0</v>
      </c>
      <c r="BE360" s="33">
        <v>0</v>
      </c>
      <c r="BF360" s="33">
        <f>360</f>
        <v>360</v>
      </c>
      <c r="BH360" s="53">
        <f>K360*AO360</f>
        <v>0</v>
      </c>
      <c r="BI360" s="53">
        <f>K360*AP360</f>
        <v>0</v>
      </c>
      <c r="BJ360" s="53">
        <f>K360*L360</f>
        <v>0</v>
      </c>
      <c r="BK360" s="53" t="s">
        <v>1046</v>
      </c>
      <c r="BL360" s="33">
        <v>89</v>
      </c>
    </row>
    <row r="361" spans="1:14" ht="12.75">
      <c r="A361" s="17"/>
      <c r="C361" s="48" t="s">
        <v>269</v>
      </c>
      <c r="D361" s="145" t="s">
        <v>725</v>
      </c>
      <c r="E361" s="146"/>
      <c r="F361" s="146"/>
      <c r="G361" s="146"/>
      <c r="H361" s="146"/>
      <c r="I361" s="146"/>
      <c r="J361" s="146"/>
      <c r="K361" s="146"/>
      <c r="L361" s="146"/>
      <c r="M361" s="147"/>
      <c r="N361" s="17"/>
    </row>
    <row r="362" spans="1:14" ht="12.75">
      <c r="A362" s="17"/>
      <c r="D362" s="143" t="s">
        <v>726</v>
      </c>
      <c r="E362" s="144"/>
      <c r="F362" s="144"/>
      <c r="G362" s="144"/>
      <c r="H362" s="144"/>
      <c r="I362" s="144"/>
      <c r="K362" s="75">
        <v>1</v>
      </c>
      <c r="M362" s="14"/>
      <c r="N362" s="17"/>
    </row>
    <row r="363" spans="1:64" ht="12.75">
      <c r="A363" s="38" t="s">
        <v>152</v>
      </c>
      <c r="B363" s="45" t="s">
        <v>61</v>
      </c>
      <c r="C363" s="45" t="s">
        <v>336</v>
      </c>
      <c r="D363" s="141" t="s">
        <v>724</v>
      </c>
      <c r="E363" s="142"/>
      <c r="F363" s="142"/>
      <c r="G363" s="142"/>
      <c r="H363" s="142"/>
      <c r="I363" s="142"/>
      <c r="J363" s="45" t="s">
        <v>975</v>
      </c>
      <c r="K363" s="74">
        <f>'Stavební rozpočet'!K363</f>
        <v>1</v>
      </c>
      <c r="L363" s="53">
        <f>'Stavební rozpočet'!L363</f>
        <v>0</v>
      </c>
      <c r="M363" s="65">
        <f>K363*L363</f>
        <v>0</v>
      </c>
      <c r="N363" s="17"/>
      <c r="Z363" s="33">
        <f>IF(AQ363="5",BJ363,0)</f>
        <v>0</v>
      </c>
      <c r="AB363" s="33">
        <f>IF(AQ363="1",BH363,0)</f>
        <v>0</v>
      </c>
      <c r="AC363" s="33">
        <f>IF(AQ363="1",BI363,0)</f>
        <v>0</v>
      </c>
      <c r="AD363" s="33">
        <f>IF(AQ363="7",BH363,0)</f>
        <v>0</v>
      </c>
      <c r="AE363" s="33">
        <f>IF(AQ363="7",BI363,0)</f>
        <v>0</v>
      </c>
      <c r="AF363" s="33">
        <f>IF(AQ363="2",BH363,0)</f>
        <v>0</v>
      </c>
      <c r="AG363" s="33">
        <f>IF(AQ363="2",BI363,0)</f>
        <v>0</v>
      </c>
      <c r="AH363" s="33">
        <f>IF(AQ363="0",BJ363,0)</f>
        <v>0</v>
      </c>
      <c r="AI363" s="58" t="s">
        <v>61</v>
      </c>
      <c r="AJ363" s="53">
        <f>IF(AN363=0,M363,0)</f>
        <v>0</v>
      </c>
      <c r="AK363" s="53">
        <f>IF(AN363=15,M363,0)</f>
        <v>0</v>
      </c>
      <c r="AL363" s="53">
        <f>IF(AN363=21,M363,0)</f>
        <v>0</v>
      </c>
      <c r="AN363" s="33">
        <v>21</v>
      </c>
      <c r="AO363" s="33">
        <f>L363*0.920092997811816</f>
        <v>0</v>
      </c>
      <c r="AP363" s="33">
        <f>L363*(1-0.920092997811816)</f>
        <v>0</v>
      </c>
      <c r="AQ363" s="59" t="s">
        <v>80</v>
      </c>
      <c r="AV363" s="33">
        <f>AW363+AX363</f>
        <v>0</v>
      </c>
      <c r="AW363" s="33">
        <f>K363*AO363</f>
        <v>0</v>
      </c>
      <c r="AX363" s="33">
        <f>K363*AP363</f>
        <v>0</v>
      </c>
      <c r="AY363" s="61" t="s">
        <v>1004</v>
      </c>
      <c r="AZ363" s="61" t="s">
        <v>1025</v>
      </c>
      <c r="BA363" s="58" t="s">
        <v>1037</v>
      </c>
      <c r="BC363" s="33">
        <f>AW363+AX363</f>
        <v>0</v>
      </c>
      <c r="BD363" s="33">
        <f>L363/(100-BE363)*100</f>
        <v>0</v>
      </c>
      <c r="BE363" s="33">
        <v>0</v>
      </c>
      <c r="BF363" s="33">
        <f>363</f>
        <v>363</v>
      </c>
      <c r="BH363" s="53">
        <f>K363*AO363</f>
        <v>0</v>
      </c>
      <c r="BI363" s="53">
        <f>K363*AP363</f>
        <v>0</v>
      </c>
      <c r="BJ363" s="53">
        <f>K363*L363</f>
        <v>0</v>
      </c>
      <c r="BK363" s="53" t="s">
        <v>1046</v>
      </c>
      <c r="BL363" s="33">
        <v>89</v>
      </c>
    </row>
    <row r="364" spans="1:14" ht="12.75">
      <c r="A364" s="17"/>
      <c r="C364" s="48" t="s">
        <v>269</v>
      </c>
      <c r="D364" s="145" t="s">
        <v>727</v>
      </c>
      <c r="E364" s="146"/>
      <c r="F364" s="146"/>
      <c r="G364" s="146"/>
      <c r="H364" s="146"/>
      <c r="I364" s="146"/>
      <c r="J364" s="146"/>
      <c r="K364" s="146"/>
      <c r="L364" s="146"/>
      <c r="M364" s="147"/>
      <c r="N364" s="17"/>
    </row>
    <row r="365" spans="1:14" ht="12.75">
      <c r="A365" s="17"/>
      <c r="D365" s="143" t="s">
        <v>728</v>
      </c>
      <c r="E365" s="144"/>
      <c r="F365" s="144"/>
      <c r="G365" s="144"/>
      <c r="H365" s="144"/>
      <c r="I365" s="144"/>
      <c r="K365" s="75">
        <v>1</v>
      </c>
      <c r="M365" s="14"/>
      <c r="N365" s="17"/>
    </row>
    <row r="366" spans="1:64" ht="12.75">
      <c r="A366" s="38" t="s">
        <v>153</v>
      </c>
      <c r="B366" s="45" t="s">
        <v>61</v>
      </c>
      <c r="C366" s="45" t="s">
        <v>337</v>
      </c>
      <c r="D366" s="141" t="s">
        <v>729</v>
      </c>
      <c r="E366" s="142"/>
      <c r="F366" s="142"/>
      <c r="G366" s="142"/>
      <c r="H366" s="142"/>
      <c r="I366" s="142"/>
      <c r="J366" s="45" t="s">
        <v>975</v>
      </c>
      <c r="K366" s="74">
        <f>'Stavební rozpočet'!K366</f>
        <v>1</v>
      </c>
      <c r="L366" s="53">
        <f>'Stavební rozpočet'!L366</f>
        <v>0</v>
      </c>
      <c r="M366" s="65">
        <f>K366*L366</f>
        <v>0</v>
      </c>
      <c r="N366" s="17"/>
      <c r="Z366" s="33">
        <f>IF(AQ366="5",BJ366,0)</f>
        <v>0</v>
      </c>
      <c r="AB366" s="33">
        <f>IF(AQ366="1",BH366,0)</f>
        <v>0</v>
      </c>
      <c r="AC366" s="33">
        <f>IF(AQ366="1",BI366,0)</f>
        <v>0</v>
      </c>
      <c r="AD366" s="33">
        <f>IF(AQ366="7",BH366,0)</f>
        <v>0</v>
      </c>
      <c r="AE366" s="33">
        <f>IF(AQ366="7",BI366,0)</f>
        <v>0</v>
      </c>
      <c r="AF366" s="33">
        <f>IF(AQ366="2",BH366,0)</f>
        <v>0</v>
      </c>
      <c r="AG366" s="33">
        <f>IF(AQ366="2",BI366,0)</f>
        <v>0</v>
      </c>
      <c r="AH366" s="33">
        <f>IF(AQ366="0",BJ366,0)</f>
        <v>0</v>
      </c>
      <c r="AI366" s="58" t="s">
        <v>61</v>
      </c>
      <c r="AJ366" s="53">
        <f>IF(AN366=0,M366,0)</f>
        <v>0</v>
      </c>
      <c r="AK366" s="53">
        <f>IF(AN366=15,M366,0)</f>
        <v>0</v>
      </c>
      <c r="AL366" s="53">
        <f>IF(AN366=21,M366,0)</f>
        <v>0</v>
      </c>
      <c r="AN366" s="33">
        <v>21</v>
      </c>
      <c r="AO366" s="33">
        <f>L366*0.919431880860452</f>
        <v>0</v>
      </c>
      <c r="AP366" s="33">
        <f>L366*(1-0.919431880860452)</f>
        <v>0</v>
      </c>
      <c r="AQ366" s="59" t="s">
        <v>80</v>
      </c>
      <c r="AV366" s="33">
        <f>AW366+AX366</f>
        <v>0</v>
      </c>
      <c r="AW366" s="33">
        <f>K366*AO366</f>
        <v>0</v>
      </c>
      <c r="AX366" s="33">
        <f>K366*AP366</f>
        <v>0</v>
      </c>
      <c r="AY366" s="61" t="s">
        <v>1004</v>
      </c>
      <c r="AZ366" s="61" t="s">
        <v>1025</v>
      </c>
      <c r="BA366" s="58" t="s">
        <v>1037</v>
      </c>
      <c r="BC366" s="33">
        <f>AW366+AX366</f>
        <v>0</v>
      </c>
      <c r="BD366" s="33">
        <f>L366/(100-BE366)*100</f>
        <v>0</v>
      </c>
      <c r="BE366" s="33">
        <v>0</v>
      </c>
      <c r="BF366" s="33">
        <f>366</f>
        <v>366</v>
      </c>
      <c r="BH366" s="53">
        <f>K366*AO366</f>
        <v>0</v>
      </c>
      <c r="BI366" s="53">
        <f>K366*AP366</f>
        <v>0</v>
      </c>
      <c r="BJ366" s="53">
        <f>K366*L366</f>
        <v>0</v>
      </c>
      <c r="BK366" s="53" t="s">
        <v>1046</v>
      </c>
      <c r="BL366" s="33">
        <v>89</v>
      </c>
    </row>
    <row r="367" spans="1:14" ht="12.75">
      <c r="A367" s="17"/>
      <c r="C367" s="48" t="s">
        <v>269</v>
      </c>
      <c r="D367" s="145" t="s">
        <v>725</v>
      </c>
      <c r="E367" s="146"/>
      <c r="F367" s="146"/>
      <c r="G367" s="146"/>
      <c r="H367" s="146"/>
      <c r="I367" s="146"/>
      <c r="J367" s="146"/>
      <c r="K367" s="146"/>
      <c r="L367" s="146"/>
      <c r="M367" s="147"/>
      <c r="N367" s="17"/>
    </row>
    <row r="368" spans="1:14" ht="12.75">
      <c r="A368" s="17"/>
      <c r="D368" s="143" t="s">
        <v>730</v>
      </c>
      <c r="E368" s="144"/>
      <c r="F368" s="144"/>
      <c r="G368" s="144"/>
      <c r="H368" s="144"/>
      <c r="I368" s="144"/>
      <c r="K368" s="75">
        <v>1</v>
      </c>
      <c r="M368" s="14"/>
      <c r="N368" s="17"/>
    </row>
    <row r="369" spans="1:64" ht="12.75">
      <c r="A369" s="38" t="s">
        <v>154</v>
      </c>
      <c r="B369" s="45" t="s">
        <v>61</v>
      </c>
      <c r="C369" s="45" t="s">
        <v>338</v>
      </c>
      <c r="D369" s="141" t="s">
        <v>729</v>
      </c>
      <c r="E369" s="142"/>
      <c r="F369" s="142"/>
      <c r="G369" s="142"/>
      <c r="H369" s="142"/>
      <c r="I369" s="142"/>
      <c r="J369" s="45" t="s">
        <v>975</v>
      </c>
      <c r="K369" s="74">
        <f>'Stavební rozpočet'!K369</f>
        <v>1</v>
      </c>
      <c r="L369" s="53">
        <f>'Stavební rozpočet'!L369</f>
        <v>0</v>
      </c>
      <c r="M369" s="65">
        <f>K369*L369</f>
        <v>0</v>
      </c>
      <c r="N369" s="17"/>
      <c r="Z369" s="33">
        <f>IF(AQ369="5",BJ369,0)</f>
        <v>0</v>
      </c>
      <c r="AB369" s="33">
        <f>IF(AQ369="1",BH369,0)</f>
        <v>0</v>
      </c>
      <c r="AC369" s="33">
        <f>IF(AQ369="1",BI369,0)</f>
        <v>0</v>
      </c>
      <c r="AD369" s="33">
        <f>IF(AQ369="7",BH369,0)</f>
        <v>0</v>
      </c>
      <c r="AE369" s="33">
        <f>IF(AQ369="7",BI369,0)</f>
        <v>0</v>
      </c>
      <c r="AF369" s="33">
        <f>IF(AQ369="2",BH369,0)</f>
        <v>0</v>
      </c>
      <c r="AG369" s="33">
        <f>IF(AQ369="2",BI369,0)</f>
        <v>0</v>
      </c>
      <c r="AH369" s="33">
        <f>IF(AQ369="0",BJ369,0)</f>
        <v>0</v>
      </c>
      <c r="AI369" s="58" t="s">
        <v>61</v>
      </c>
      <c r="AJ369" s="53">
        <f>IF(AN369=0,M369,0)</f>
        <v>0</v>
      </c>
      <c r="AK369" s="53">
        <f>IF(AN369=15,M369,0)</f>
        <v>0</v>
      </c>
      <c r="AL369" s="53">
        <f>IF(AN369=21,M369,0)</f>
        <v>0</v>
      </c>
      <c r="AN369" s="33">
        <v>21</v>
      </c>
      <c r="AO369" s="33">
        <f>L369*0.927074388417374</f>
        <v>0</v>
      </c>
      <c r="AP369" s="33">
        <f>L369*(1-0.927074388417374)</f>
        <v>0</v>
      </c>
      <c r="AQ369" s="59" t="s">
        <v>80</v>
      </c>
      <c r="AV369" s="33">
        <f>AW369+AX369</f>
        <v>0</v>
      </c>
      <c r="AW369" s="33">
        <f>K369*AO369</f>
        <v>0</v>
      </c>
      <c r="AX369" s="33">
        <f>K369*AP369</f>
        <v>0</v>
      </c>
      <c r="AY369" s="61" t="s">
        <v>1004</v>
      </c>
      <c r="AZ369" s="61" t="s">
        <v>1025</v>
      </c>
      <c r="BA369" s="58" t="s">
        <v>1037</v>
      </c>
      <c r="BC369" s="33">
        <f>AW369+AX369</f>
        <v>0</v>
      </c>
      <c r="BD369" s="33">
        <f>L369/(100-BE369)*100</f>
        <v>0</v>
      </c>
      <c r="BE369" s="33">
        <v>0</v>
      </c>
      <c r="BF369" s="33">
        <f>369</f>
        <v>369</v>
      </c>
      <c r="BH369" s="53">
        <f>K369*AO369</f>
        <v>0</v>
      </c>
      <c r="BI369" s="53">
        <f>K369*AP369</f>
        <v>0</v>
      </c>
      <c r="BJ369" s="53">
        <f>K369*L369</f>
        <v>0</v>
      </c>
      <c r="BK369" s="53" t="s">
        <v>1046</v>
      </c>
      <c r="BL369" s="33">
        <v>89</v>
      </c>
    </row>
    <row r="370" spans="1:14" ht="12.75">
      <c r="A370" s="17"/>
      <c r="C370" s="48" t="s">
        <v>269</v>
      </c>
      <c r="D370" s="145" t="s">
        <v>727</v>
      </c>
      <c r="E370" s="146"/>
      <c r="F370" s="146"/>
      <c r="G370" s="146"/>
      <c r="H370" s="146"/>
      <c r="I370" s="146"/>
      <c r="J370" s="146"/>
      <c r="K370" s="146"/>
      <c r="L370" s="146"/>
      <c r="M370" s="147"/>
      <c r="N370" s="17"/>
    </row>
    <row r="371" spans="1:14" ht="12.75">
      <c r="A371" s="17"/>
      <c r="D371" s="143" t="s">
        <v>731</v>
      </c>
      <c r="E371" s="144"/>
      <c r="F371" s="144"/>
      <c r="G371" s="144"/>
      <c r="H371" s="144"/>
      <c r="I371" s="144"/>
      <c r="K371" s="75">
        <v>1</v>
      </c>
      <c r="M371" s="14"/>
      <c r="N371" s="17"/>
    </row>
    <row r="372" spans="1:64" ht="12.75">
      <c r="A372" s="38" t="s">
        <v>155</v>
      </c>
      <c r="B372" s="45" t="s">
        <v>61</v>
      </c>
      <c r="C372" s="45" t="s">
        <v>339</v>
      </c>
      <c r="D372" s="141" t="s">
        <v>732</v>
      </c>
      <c r="E372" s="142"/>
      <c r="F372" s="142"/>
      <c r="G372" s="142"/>
      <c r="H372" s="142"/>
      <c r="I372" s="142"/>
      <c r="J372" s="45" t="s">
        <v>975</v>
      </c>
      <c r="K372" s="74">
        <f>'Stavební rozpočet'!K372</f>
        <v>1</v>
      </c>
      <c r="L372" s="53">
        <f>'Stavební rozpočet'!L372</f>
        <v>0</v>
      </c>
      <c r="M372" s="65">
        <f>K372*L372</f>
        <v>0</v>
      </c>
      <c r="N372" s="17"/>
      <c r="Z372" s="33">
        <f>IF(AQ372="5",BJ372,0)</f>
        <v>0</v>
      </c>
      <c r="AB372" s="33">
        <f>IF(AQ372="1",BH372,0)</f>
        <v>0</v>
      </c>
      <c r="AC372" s="33">
        <f>IF(AQ372="1",BI372,0)</f>
        <v>0</v>
      </c>
      <c r="AD372" s="33">
        <f>IF(AQ372="7",BH372,0)</f>
        <v>0</v>
      </c>
      <c r="AE372" s="33">
        <f>IF(AQ372="7",BI372,0)</f>
        <v>0</v>
      </c>
      <c r="AF372" s="33">
        <f>IF(AQ372="2",BH372,0)</f>
        <v>0</v>
      </c>
      <c r="AG372" s="33">
        <f>IF(AQ372="2",BI372,0)</f>
        <v>0</v>
      </c>
      <c r="AH372" s="33">
        <f>IF(AQ372="0",BJ372,0)</f>
        <v>0</v>
      </c>
      <c r="AI372" s="58" t="s">
        <v>61</v>
      </c>
      <c r="AJ372" s="53">
        <f>IF(AN372=0,M372,0)</f>
        <v>0</v>
      </c>
      <c r="AK372" s="53">
        <f>IF(AN372=15,M372,0)</f>
        <v>0</v>
      </c>
      <c r="AL372" s="53">
        <f>IF(AN372=21,M372,0)</f>
        <v>0</v>
      </c>
      <c r="AN372" s="33">
        <v>21</v>
      </c>
      <c r="AO372" s="33">
        <f>L372*0.922550371155885</f>
        <v>0</v>
      </c>
      <c r="AP372" s="33">
        <f>L372*(1-0.922550371155885)</f>
        <v>0</v>
      </c>
      <c r="AQ372" s="59" t="s">
        <v>80</v>
      </c>
      <c r="AV372" s="33">
        <f>AW372+AX372</f>
        <v>0</v>
      </c>
      <c r="AW372" s="33">
        <f>K372*AO372</f>
        <v>0</v>
      </c>
      <c r="AX372" s="33">
        <f>K372*AP372</f>
        <v>0</v>
      </c>
      <c r="AY372" s="61" t="s">
        <v>1004</v>
      </c>
      <c r="AZ372" s="61" t="s">
        <v>1025</v>
      </c>
      <c r="BA372" s="58" t="s">
        <v>1037</v>
      </c>
      <c r="BC372" s="33">
        <f>AW372+AX372</f>
        <v>0</v>
      </c>
      <c r="BD372" s="33">
        <f>L372/(100-BE372)*100</f>
        <v>0</v>
      </c>
      <c r="BE372" s="33">
        <v>0</v>
      </c>
      <c r="BF372" s="33">
        <f>372</f>
        <v>372</v>
      </c>
      <c r="BH372" s="53">
        <f>K372*AO372</f>
        <v>0</v>
      </c>
      <c r="BI372" s="53">
        <f>K372*AP372</f>
        <v>0</v>
      </c>
      <c r="BJ372" s="53">
        <f>K372*L372</f>
        <v>0</v>
      </c>
      <c r="BK372" s="53" t="s">
        <v>1046</v>
      </c>
      <c r="BL372" s="33">
        <v>89</v>
      </c>
    </row>
    <row r="373" spans="1:14" ht="12.75">
      <c r="A373" s="17"/>
      <c r="C373" s="48" t="s">
        <v>269</v>
      </c>
      <c r="D373" s="145" t="s">
        <v>733</v>
      </c>
      <c r="E373" s="146"/>
      <c r="F373" s="146"/>
      <c r="G373" s="146"/>
      <c r="H373" s="146"/>
      <c r="I373" s="146"/>
      <c r="J373" s="146"/>
      <c r="K373" s="146"/>
      <c r="L373" s="146"/>
      <c r="M373" s="147"/>
      <c r="N373" s="17"/>
    </row>
    <row r="374" spans="1:14" ht="12.75">
      <c r="A374" s="17"/>
      <c r="D374" s="143" t="s">
        <v>734</v>
      </c>
      <c r="E374" s="144"/>
      <c r="F374" s="144"/>
      <c r="G374" s="144"/>
      <c r="H374" s="144"/>
      <c r="I374" s="144"/>
      <c r="K374" s="75">
        <v>1</v>
      </c>
      <c r="M374" s="14"/>
      <c r="N374" s="17"/>
    </row>
    <row r="375" spans="1:64" ht="12.75">
      <c r="A375" s="38" t="s">
        <v>156</v>
      </c>
      <c r="B375" s="45" t="s">
        <v>61</v>
      </c>
      <c r="C375" s="45" t="s">
        <v>340</v>
      </c>
      <c r="D375" s="141" t="s">
        <v>735</v>
      </c>
      <c r="E375" s="142"/>
      <c r="F375" s="142"/>
      <c r="G375" s="142"/>
      <c r="H375" s="142"/>
      <c r="I375" s="142"/>
      <c r="J375" s="45" t="s">
        <v>975</v>
      </c>
      <c r="K375" s="74">
        <f>'Stavební rozpočet'!K375</f>
        <v>4</v>
      </c>
      <c r="L375" s="53">
        <f>'Stavební rozpočet'!L375</f>
        <v>0</v>
      </c>
      <c r="M375" s="65">
        <f>K375*L375</f>
        <v>0</v>
      </c>
      <c r="N375" s="17"/>
      <c r="Z375" s="33">
        <f>IF(AQ375="5",BJ375,0)</f>
        <v>0</v>
      </c>
      <c r="AB375" s="33">
        <f>IF(AQ375="1",BH375,0)</f>
        <v>0</v>
      </c>
      <c r="AC375" s="33">
        <f>IF(AQ375="1",BI375,0)</f>
        <v>0</v>
      </c>
      <c r="AD375" s="33">
        <f>IF(AQ375="7",BH375,0)</f>
        <v>0</v>
      </c>
      <c r="AE375" s="33">
        <f>IF(AQ375="7",BI375,0)</f>
        <v>0</v>
      </c>
      <c r="AF375" s="33">
        <f>IF(AQ375="2",BH375,0)</f>
        <v>0</v>
      </c>
      <c r="AG375" s="33">
        <f>IF(AQ375="2",BI375,0)</f>
        <v>0</v>
      </c>
      <c r="AH375" s="33">
        <f>IF(AQ375="0",BJ375,0)</f>
        <v>0</v>
      </c>
      <c r="AI375" s="58" t="s">
        <v>61</v>
      </c>
      <c r="AJ375" s="53">
        <f>IF(AN375=0,M375,0)</f>
        <v>0</v>
      </c>
      <c r="AK375" s="53">
        <f>IF(AN375=15,M375,0)</f>
        <v>0</v>
      </c>
      <c r="AL375" s="53">
        <f>IF(AN375=21,M375,0)</f>
        <v>0</v>
      </c>
      <c r="AN375" s="33">
        <v>21</v>
      </c>
      <c r="AO375" s="33">
        <f>L375*0.926709642134524</f>
        <v>0</v>
      </c>
      <c r="AP375" s="33">
        <f>L375*(1-0.926709642134524)</f>
        <v>0</v>
      </c>
      <c r="AQ375" s="59" t="s">
        <v>80</v>
      </c>
      <c r="AV375" s="33">
        <f>AW375+AX375</f>
        <v>0</v>
      </c>
      <c r="AW375" s="33">
        <f>K375*AO375</f>
        <v>0</v>
      </c>
      <c r="AX375" s="33">
        <f>K375*AP375</f>
        <v>0</v>
      </c>
      <c r="AY375" s="61" t="s">
        <v>1004</v>
      </c>
      <c r="AZ375" s="61" t="s">
        <v>1025</v>
      </c>
      <c r="BA375" s="58" t="s">
        <v>1037</v>
      </c>
      <c r="BC375" s="33">
        <f>AW375+AX375</f>
        <v>0</v>
      </c>
      <c r="BD375" s="33">
        <f>L375/(100-BE375)*100</f>
        <v>0</v>
      </c>
      <c r="BE375" s="33">
        <v>0</v>
      </c>
      <c r="BF375" s="33">
        <f>375</f>
        <v>375</v>
      </c>
      <c r="BH375" s="53">
        <f>K375*AO375</f>
        <v>0</v>
      </c>
      <c r="BI375" s="53">
        <f>K375*AP375</f>
        <v>0</v>
      </c>
      <c r="BJ375" s="53">
        <f>K375*L375</f>
        <v>0</v>
      </c>
      <c r="BK375" s="53" t="s">
        <v>1046</v>
      </c>
      <c r="BL375" s="33">
        <v>89</v>
      </c>
    </row>
    <row r="376" spans="1:14" ht="12.75">
      <c r="A376" s="17"/>
      <c r="C376" s="48" t="s">
        <v>269</v>
      </c>
      <c r="D376" s="145" t="s">
        <v>725</v>
      </c>
      <c r="E376" s="146"/>
      <c r="F376" s="146"/>
      <c r="G376" s="146"/>
      <c r="H376" s="146"/>
      <c r="I376" s="146"/>
      <c r="J376" s="146"/>
      <c r="K376" s="146"/>
      <c r="L376" s="146"/>
      <c r="M376" s="147"/>
      <c r="N376" s="17"/>
    </row>
    <row r="377" spans="1:14" ht="12.75">
      <c r="A377" s="17"/>
      <c r="D377" s="143" t="s">
        <v>736</v>
      </c>
      <c r="E377" s="144"/>
      <c r="F377" s="144"/>
      <c r="G377" s="144"/>
      <c r="H377" s="144"/>
      <c r="I377" s="144"/>
      <c r="K377" s="75">
        <v>1</v>
      </c>
      <c r="M377" s="14"/>
      <c r="N377" s="17"/>
    </row>
    <row r="378" spans="1:14" ht="12.75">
      <c r="A378" s="17"/>
      <c r="D378" s="143" t="s">
        <v>737</v>
      </c>
      <c r="E378" s="144"/>
      <c r="F378" s="144"/>
      <c r="G378" s="144"/>
      <c r="H378" s="144"/>
      <c r="I378" s="144"/>
      <c r="K378" s="75">
        <v>1</v>
      </c>
      <c r="M378" s="14"/>
      <c r="N378" s="17"/>
    </row>
    <row r="379" spans="1:14" ht="12.75">
      <c r="A379" s="17"/>
      <c r="D379" s="143" t="s">
        <v>738</v>
      </c>
      <c r="E379" s="144"/>
      <c r="F379" s="144"/>
      <c r="G379" s="144"/>
      <c r="H379" s="144"/>
      <c r="I379" s="144"/>
      <c r="K379" s="75">
        <v>1</v>
      </c>
      <c r="M379" s="14"/>
      <c r="N379" s="17"/>
    </row>
    <row r="380" spans="1:14" ht="12.75">
      <c r="A380" s="17"/>
      <c r="D380" s="143" t="s">
        <v>739</v>
      </c>
      <c r="E380" s="144"/>
      <c r="F380" s="144"/>
      <c r="G380" s="144"/>
      <c r="H380" s="144"/>
      <c r="I380" s="144"/>
      <c r="K380" s="75">
        <v>1</v>
      </c>
      <c r="M380" s="14"/>
      <c r="N380" s="17"/>
    </row>
    <row r="381" spans="1:64" ht="12.75">
      <c r="A381" s="38" t="s">
        <v>157</v>
      </c>
      <c r="B381" s="45" t="s">
        <v>61</v>
      </c>
      <c r="C381" s="45" t="s">
        <v>341</v>
      </c>
      <c r="D381" s="141" t="s">
        <v>735</v>
      </c>
      <c r="E381" s="142"/>
      <c r="F381" s="142"/>
      <c r="G381" s="142"/>
      <c r="H381" s="142"/>
      <c r="I381" s="142"/>
      <c r="J381" s="45" t="s">
        <v>975</v>
      </c>
      <c r="K381" s="74">
        <f>'Stavební rozpočet'!K381</f>
        <v>1</v>
      </c>
      <c r="L381" s="53">
        <f>'Stavební rozpočet'!L381</f>
        <v>0</v>
      </c>
      <c r="M381" s="65">
        <f>K381*L381</f>
        <v>0</v>
      </c>
      <c r="N381" s="17"/>
      <c r="Z381" s="33">
        <f>IF(AQ381="5",BJ381,0)</f>
        <v>0</v>
      </c>
      <c r="AB381" s="33">
        <f>IF(AQ381="1",BH381,0)</f>
        <v>0</v>
      </c>
      <c r="AC381" s="33">
        <f>IF(AQ381="1",BI381,0)</f>
        <v>0</v>
      </c>
      <c r="AD381" s="33">
        <f>IF(AQ381="7",BH381,0)</f>
        <v>0</v>
      </c>
      <c r="AE381" s="33">
        <f>IF(AQ381="7",BI381,0)</f>
        <v>0</v>
      </c>
      <c r="AF381" s="33">
        <f>IF(AQ381="2",BH381,0)</f>
        <v>0</v>
      </c>
      <c r="AG381" s="33">
        <f>IF(AQ381="2",BI381,0)</f>
        <v>0</v>
      </c>
      <c r="AH381" s="33">
        <f>IF(AQ381="0",BJ381,0)</f>
        <v>0</v>
      </c>
      <c r="AI381" s="58" t="s">
        <v>61</v>
      </c>
      <c r="AJ381" s="53">
        <f>IF(AN381=0,M381,0)</f>
        <v>0</v>
      </c>
      <c r="AK381" s="53">
        <f>IF(AN381=15,M381,0)</f>
        <v>0</v>
      </c>
      <c r="AL381" s="53">
        <f>IF(AN381=21,M381,0)</f>
        <v>0</v>
      </c>
      <c r="AN381" s="33">
        <v>21</v>
      </c>
      <c r="AO381" s="33">
        <f>L381*0.933087494273935</f>
        <v>0</v>
      </c>
      <c r="AP381" s="33">
        <f>L381*(1-0.933087494273935)</f>
        <v>0</v>
      </c>
      <c r="AQ381" s="59" t="s">
        <v>80</v>
      </c>
      <c r="AV381" s="33">
        <f>AW381+AX381</f>
        <v>0</v>
      </c>
      <c r="AW381" s="33">
        <f>K381*AO381</f>
        <v>0</v>
      </c>
      <c r="AX381" s="33">
        <f>K381*AP381</f>
        <v>0</v>
      </c>
      <c r="AY381" s="61" t="s">
        <v>1004</v>
      </c>
      <c r="AZ381" s="61" t="s">
        <v>1025</v>
      </c>
      <c r="BA381" s="58" t="s">
        <v>1037</v>
      </c>
      <c r="BC381" s="33">
        <f>AW381+AX381</f>
        <v>0</v>
      </c>
      <c r="BD381" s="33">
        <f>L381/(100-BE381)*100</f>
        <v>0</v>
      </c>
      <c r="BE381" s="33">
        <v>0</v>
      </c>
      <c r="BF381" s="33">
        <f>381</f>
        <v>381</v>
      </c>
      <c r="BH381" s="53">
        <f>K381*AO381</f>
        <v>0</v>
      </c>
      <c r="BI381" s="53">
        <f>K381*AP381</f>
        <v>0</v>
      </c>
      <c r="BJ381" s="53">
        <f>K381*L381</f>
        <v>0</v>
      </c>
      <c r="BK381" s="53" t="s">
        <v>1046</v>
      </c>
      <c r="BL381" s="33">
        <v>89</v>
      </c>
    </row>
    <row r="382" spans="1:14" ht="12.75">
      <c r="A382" s="17"/>
      <c r="C382" s="48" t="s">
        <v>269</v>
      </c>
      <c r="D382" s="145" t="s">
        <v>727</v>
      </c>
      <c r="E382" s="146"/>
      <c r="F382" s="146"/>
      <c r="G382" s="146"/>
      <c r="H382" s="146"/>
      <c r="I382" s="146"/>
      <c r="J382" s="146"/>
      <c r="K382" s="146"/>
      <c r="L382" s="146"/>
      <c r="M382" s="147"/>
      <c r="N382" s="17"/>
    </row>
    <row r="383" spans="1:14" ht="12.75">
      <c r="A383" s="17"/>
      <c r="D383" s="143" t="s">
        <v>740</v>
      </c>
      <c r="E383" s="144"/>
      <c r="F383" s="144"/>
      <c r="G383" s="144"/>
      <c r="H383" s="144"/>
      <c r="I383" s="144"/>
      <c r="K383" s="75">
        <v>1</v>
      </c>
      <c r="M383" s="14"/>
      <c r="N383" s="17"/>
    </row>
    <row r="384" spans="1:64" ht="12.75">
      <c r="A384" s="38" t="s">
        <v>158</v>
      </c>
      <c r="B384" s="45" t="s">
        <v>61</v>
      </c>
      <c r="C384" s="45" t="s">
        <v>342</v>
      </c>
      <c r="D384" s="141" t="s">
        <v>735</v>
      </c>
      <c r="E384" s="142"/>
      <c r="F384" s="142"/>
      <c r="G384" s="142"/>
      <c r="H384" s="142"/>
      <c r="I384" s="142"/>
      <c r="J384" s="45" t="s">
        <v>975</v>
      </c>
      <c r="K384" s="74">
        <f>'Stavební rozpočet'!K384</f>
        <v>1</v>
      </c>
      <c r="L384" s="53">
        <f>'Stavební rozpočet'!L384</f>
        <v>0</v>
      </c>
      <c r="M384" s="65">
        <f>K384*L384</f>
        <v>0</v>
      </c>
      <c r="N384" s="17"/>
      <c r="Z384" s="33">
        <f>IF(AQ384="5",BJ384,0)</f>
        <v>0</v>
      </c>
      <c r="AB384" s="33">
        <f>IF(AQ384="1",BH384,0)</f>
        <v>0</v>
      </c>
      <c r="AC384" s="33">
        <f>IF(AQ384="1",BI384,0)</f>
        <v>0</v>
      </c>
      <c r="AD384" s="33">
        <f>IF(AQ384="7",BH384,0)</f>
        <v>0</v>
      </c>
      <c r="AE384" s="33">
        <f>IF(AQ384="7",BI384,0)</f>
        <v>0</v>
      </c>
      <c r="AF384" s="33">
        <f>IF(AQ384="2",BH384,0)</f>
        <v>0</v>
      </c>
      <c r="AG384" s="33">
        <f>IF(AQ384="2",BI384,0)</f>
        <v>0</v>
      </c>
      <c r="AH384" s="33">
        <f>IF(AQ384="0",BJ384,0)</f>
        <v>0</v>
      </c>
      <c r="AI384" s="58" t="s">
        <v>61</v>
      </c>
      <c r="AJ384" s="53">
        <f>IF(AN384=0,M384,0)</f>
        <v>0</v>
      </c>
      <c r="AK384" s="53">
        <f>IF(AN384=15,M384,0)</f>
        <v>0</v>
      </c>
      <c r="AL384" s="53">
        <f>IF(AN384=21,M384,0)</f>
        <v>0</v>
      </c>
      <c r="AN384" s="33">
        <v>21</v>
      </c>
      <c r="AO384" s="33">
        <f>L384*0.936074398249453</f>
        <v>0</v>
      </c>
      <c r="AP384" s="33">
        <f>L384*(1-0.936074398249453)</f>
        <v>0</v>
      </c>
      <c r="AQ384" s="59" t="s">
        <v>80</v>
      </c>
      <c r="AV384" s="33">
        <f>AW384+AX384</f>
        <v>0</v>
      </c>
      <c r="AW384" s="33">
        <f>K384*AO384</f>
        <v>0</v>
      </c>
      <c r="AX384" s="33">
        <f>K384*AP384</f>
        <v>0</v>
      </c>
      <c r="AY384" s="61" t="s">
        <v>1004</v>
      </c>
      <c r="AZ384" s="61" t="s">
        <v>1025</v>
      </c>
      <c r="BA384" s="58" t="s">
        <v>1037</v>
      </c>
      <c r="BC384" s="33">
        <f>AW384+AX384</f>
        <v>0</v>
      </c>
      <c r="BD384" s="33">
        <f>L384/(100-BE384)*100</f>
        <v>0</v>
      </c>
      <c r="BE384" s="33">
        <v>0</v>
      </c>
      <c r="BF384" s="33">
        <f>384</f>
        <v>384</v>
      </c>
      <c r="BH384" s="53">
        <f>K384*AO384</f>
        <v>0</v>
      </c>
      <c r="BI384" s="53">
        <f>K384*AP384</f>
        <v>0</v>
      </c>
      <c r="BJ384" s="53">
        <f>K384*L384</f>
        <v>0</v>
      </c>
      <c r="BK384" s="53" t="s">
        <v>1046</v>
      </c>
      <c r="BL384" s="33">
        <v>89</v>
      </c>
    </row>
    <row r="385" spans="1:14" ht="12.75">
      <c r="A385" s="17"/>
      <c r="C385" s="48" t="s">
        <v>269</v>
      </c>
      <c r="D385" s="145" t="s">
        <v>741</v>
      </c>
      <c r="E385" s="146"/>
      <c r="F385" s="146"/>
      <c r="G385" s="146"/>
      <c r="H385" s="146"/>
      <c r="I385" s="146"/>
      <c r="J385" s="146"/>
      <c r="K385" s="146"/>
      <c r="L385" s="146"/>
      <c r="M385" s="147"/>
      <c r="N385" s="17"/>
    </row>
    <row r="386" spans="1:14" ht="12.75">
      <c r="A386" s="17"/>
      <c r="D386" s="143" t="s">
        <v>742</v>
      </c>
      <c r="E386" s="144"/>
      <c r="F386" s="144"/>
      <c r="G386" s="144"/>
      <c r="H386" s="144"/>
      <c r="I386" s="144"/>
      <c r="K386" s="75">
        <v>1</v>
      </c>
      <c r="M386" s="14"/>
      <c r="N386" s="17"/>
    </row>
    <row r="387" spans="1:64" ht="12.75">
      <c r="A387" s="38" t="s">
        <v>159</v>
      </c>
      <c r="B387" s="45" t="s">
        <v>61</v>
      </c>
      <c r="C387" s="45" t="s">
        <v>343</v>
      </c>
      <c r="D387" s="141" t="s">
        <v>743</v>
      </c>
      <c r="E387" s="142"/>
      <c r="F387" s="142"/>
      <c r="G387" s="142"/>
      <c r="H387" s="142"/>
      <c r="I387" s="142"/>
      <c r="J387" s="45" t="s">
        <v>975</v>
      </c>
      <c r="K387" s="74">
        <f>'Stavební rozpočet'!K387</f>
        <v>1</v>
      </c>
      <c r="L387" s="53">
        <f>'Stavební rozpočet'!L387</f>
        <v>0</v>
      </c>
      <c r="M387" s="65">
        <f>K387*L387</f>
        <v>0</v>
      </c>
      <c r="N387" s="17"/>
      <c r="Z387" s="33">
        <f>IF(AQ387="5",BJ387,0)</f>
        <v>0</v>
      </c>
      <c r="AB387" s="33">
        <f>IF(AQ387="1",BH387,0)</f>
        <v>0</v>
      </c>
      <c r="AC387" s="33">
        <f>IF(AQ387="1",BI387,0)</f>
        <v>0</v>
      </c>
      <c r="AD387" s="33">
        <f>IF(AQ387="7",BH387,0)</f>
        <v>0</v>
      </c>
      <c r="AE387" s="33">
        <f>IF(AQ387="7",BI387,0)</f>
        <v>0</v>
      </c>
      <c r="AF387" s="33">
        <f>IF(AQ387="2",BH387,0)</f>
        <v>0</v>
      </c>
      <c r="AG387" s="33">
        <f>IF(AQ387="2",BI387,0)</f>
        <v>0</v>
      </c>
      <c r="AH387" s="33">
        <f>IF(AQ387="0",BJ387,0)</f>
        <v>0</v>
      </c>
      <c r="AI387" s="58" t="s">
        <v>61</v>
      </c>
      <c r="AJ387" s="53">
        <f>IF(AN387=0,M387,0)</f>
        <v>0</v>
      </c>
      <c r="AK387" s="53">
        <f>IF(AN387=15,M387,0)</f>
        <v>0</v>
      </c>
      <c r="AL387" s="53">
        <f>IF(AN387=21,M387,0)</f>
        <v>0</v>
      </c>
      <c r="AN387" s="33">
        <v>21</v>
      </c>
      <c r="AO387" s="33">
        <f>L387*0.969789325842697</f>
        <v>0</v>
      </c>
      <c r="AP387" s="33">
        <f>L387*(1-0.969789325842697)</f>
        <v>0</v>
      </c>
      <c r="AQ387" s="59" t="s">
        <v>80</v>
      </c>
      <c r="AV387" s="33">
        <f>AW387+AX387</f>
        <v>0</v>
      </c>
      <c r="AW387" s="33">
        <f>K387*AO387</f>
        <v>0</v>
      </c>
      <c r="AX387" s="33">
        <f>K387*AP387</f>
        <v>0</v>
      </c>
      <c r="AY387" s="61" t="s">
        <v>1004</v>
      </c>
      <c r="AZ387" s="61" t="s">
        <v>1025</v>
      </c>
      <c r="BA387" s="58" t="s">
        <v>1037</v>
      </c>
      <c r="BC387" s="33">
        <f>AW387+AX387</f>
        <v>0</v>
      </c>
      <c r="BD387" s="33">
        <f>L387/(100-BE387)*100</f>
        <v>0</v>
      </c>
      <c r="BE387" s="33">
        <v>0</v>
      </c>
      <c r="BF387" s="33">
        <f>387</f>
        <v>387</v>
      </c>
      <c r="BH387" s="53">
        <f>K387*AO387</f>
        <v>0</v>
      </c>
      <c r="BI387" s="53">
        <f>K387*AP387</f>
        <v>0</v>
      </c>
      <c r="BJ387" s="53">
        <f>K387*L387</f>
        <v>0</v>
      </c>
      <c r="BK387" s="53" t="s">
        <v>1046</v>
      </c>
      <c r="BL387" s="33">
        <v>89</v>
      </c>
    </row>
    <row r="388" spans="1:14" ht="12.75">
      <c r="A388" s="17"/>
      <c r="C388" s="48" t="s">
        <v>269</v>
      </c>
      <c r="D388" s="145" t="s">
        <v>744</v>
      </c>
      <c r="E388" s="146"/>
      <c r="F388" s="146"/>
      <c r="G388" s="146"/>
      <c r="H388" s="146"/>
      <c r="I388" s="146"/>
      <c r="J388" s="146"/>
      <c r="K388" s="146"/>
      <c r="L388" s="146"/>
      <c r="M388" s="147"/>
      <c r="N388" s="17"/>
    </row>
    <row r="389" spans="1:14" ht="12.75">
      <c r="A389" s="17"/>
      <c r="D389" s="143" t="s">
        <v>745</v>
      </c>
      <c r="E389" s="144"/>
      <c r="F389" s="144"/>
      <c r="G389" s="144"/>
      <c r="H389" s="144"/>
      <c r="I389" s="144"/>
      <c r="K389" s="75">
        <v>1</v>
      </c>
      <c r="M389" s="14"/>
      <c r="N389" s="17"/>
    </row>
    <row r="390" spans="1:64" ht="12.75">
      <c r="A390" s="38" t="s">
        <v>160</v>
      </c>
      <c r="B390" s="45" t="s">
        <v>61</v>
      </c>
      <c r="C390" s="45" t="s">
        <v>344</v>
      </c>
      <c r="D390" s="141" t="s">
        <v>746</v>
      </c>
      <c r="E390" s="142"/>
      <c r="F390" s="142"/>
      <c r="G390" s="142"/>
      <c r="H390" s="142"/>
      <c r="I390" s="142"/>
      <c r="J390" s="45" t="s">
        <v>975</v>
      </c>
      <c r="K390" s="74">
        <f>'Stavební rozpočet'!K390</f>
        <v>1</v>
      </c>
      <c r="L390" s="53">
        <f>'Stavební rozpočet'!L390</f>
        <v>0</v>
      </c>
      <c r="M390" s="65">
        <f>K390*L390</f>
        <v>0</v>
      </c>
      <c r="N390" s="17"/>
      <c r="Z390" s="33">
        <f>IF(AQ390="5",BJ390,0)</f>
        <v>0</v>
      </c>
      <c r="AB390" s="33">
        <f>IF(AQ390="1",BH390,0)</f>
        <v>0</v>
      </c>
      <c r="AC390" s="33">
        <f>IF(AQ390="1",BI390,0)</f>
        <v>0</v>
      </c>
      <c r="AD390" s="33">
        <f>IF(AQ390="7",BH390,0)</f>
        <v>0</v>
      </c>
      <c r="AE390" s="33">
        <f>IF(AQ390="7",BI390,0)</f>
        <v>0</v>
      </c>
      <c r="AF390" s="33">
        <f>IF(AQ390="2",BH390,0)</f>
        <v>0</v>
      </c>
      <c r="AG390" s="33">
        <f>IF(AQ390="2",BI390,0)</f>
        <v>0</v>
      </c>
      <c r="AH390" s="33">
        <f>IF(AQ390="0",BJ390,0)</f>
        <v>0</v>
      </c>
      <c r="AI390" s="58" t="s">
        <v>61</v>
      </c>
      <c r="AJ390" s="53">
        <f>IF(AN390=0,M390,0)</f>
        <v>0</v>
      </c>
      <c r="AK390" s="53">
        <f>IF(AN390=15,M390,0)</f>
        <v>0</v>
      </c>
      <c r="AL390" s="53">
        <f>IF(AN390=21,M390,0)</f>
        <v>0</v>
      </c>
      <c r="AN390" s="33">
        <v>21</v>
      </c>
      <c r="AO390" s="33">
        <f>L390*0.0197142857142857</f>
        <v>0</v>
      </c>
      <c r="AP390" s="33">
        <f>L390*(1-0.0197142857142857)</f>
        <v>0</v>
      </c>
      <c r="AQ390" s="59" t="s">
        <v>80</v>
      </c>
      <c r="AV390" s="33">
        <f>AW390+AX390</f>
        <v>0</v>
      </c>
      <c r="AW390" s="33">
        <f>K390*AO390</f>
        <v>0</v>
      </c>
      <c r="AX390" s="33">
        <f>K390*AP390</f>
        <v>0</v>
      </c>
      <c r="AY390" s="61" t="s">
        <v>1004</v>
      </c>
      <c r="AZ390" s="61" t="s">
        <v>1025</v>
      </c>
      <c r="BA390" s="58" t="s">
        <v>1037</v>
      </c>
      <c r="BC390" s="33">
        <f>AW390+AX390</f>
        <v>0</v>
      </c>
      <c r="BD390" s="33">
        <f>L390/(100-BE390)*100</f>
        <v>0</v>
      </c>
      <c r="BE390" s="33">
        <v>0</v>
      </c>
      <c r="BF390" s="33">
        <f>390</f>
        <v>390</v>
      </c>
      <c r="BH390" s="53">
        <f>K390*AO390</f>
        <v>0</v>
      </c>
      <c r="BI390" s="53">
        <f>K390*AP390</f>
        <v>0</v>
      </c>
      <c r="BJ390" s="53">
        <f>K390*L390</f>
        <v>0</v>
      </c>
      <c r="BK390" s="53" t="s">
        <v>1046</v>
      </c>
      <c r="BL390" s="33">
        <v>89</v>
      </c>
    </row>
    <row r="391" spans="1:14" ht="12.75">
      <c r="A391" s="17"/>
      <c r="D391" s="143" t="s">
        <v>712</v>
      </c>
      <c r="E391" s="144"/>
      <c r="F391" s="144"/>
      <c r="G391" s="144"/>
      <c r="H391" s="144"/>
      <c r="I391" s="144"/>
      <c r="K391" s="75">
        <v>1</v>
      </c>
      <c r="M391" s="14"/>
      <c r="N391" s="17"/>
    </row>
    <row r="392" spans="1:64" ht="12.75">
      <c r="A392" s="39" t="s">
        <v>161</v>
      </c>
      <c r="B392" s="46" t="s">
        <v>61</v>
      </c>
      <c r="C392" s="46" t="s">
        <v>345</v>
      </c>
      <c r="D392" s="148" t="s">
        <v>747</v>
      </c>
      <c r="E392" s="149"/>
      <c r="F392" s="149"/>
      <c r="G392" s="149"/>
      <c r="H392" s="149"/>
      <c r="I392" s="149"/>
      <c r="J392" s="46" t="s">
        <v>975</v>
      </c>
      <c r="K392" s="78">
        <f>'Stavební rozpočet'!K392</f>
        <v>1</v>
      </c>
      <c r="L392" s="54">
        <f>'Stavební rozpočet'!L392</f>
        <v>0</v>
      </c>
      <c r="M392" s="66">
        <f>K392*L392</f>
        <v>0</v>
      </c>
      <c r="N392" s="17"/>
      <c r="Z392" s="33">
        <f>IF(AQ392="5",BJ392,0)</f>
        <v>0</v>
      </c>
      <c r="AB392" s="33">
        <f>IF(AQ392="1",BH392,0)</f>
        <v>0</v>
      </c>
      <c r="AC392" s="33">
        <f>IF(AQ392="1",BI392,0)</f>
        <v>0</v>
      </c>
      <c r="AD392" s="33">
        <f>IF(AQ392="7",BH392,0)</f>
        <v>0</v>
      </c>
      <c r="AE392" s="33">
        <f>IF(AQ392="7",BI392,0)</f>
        <v>0</v>
      </c>
      <c r="AF392" s="33">
        <f>IF(AQ392="2",BH392,0)</f>
        <v>0</v>
      </c>
      <c r="AG392" s="33">
        <f>IF(AQ392="2",BI392,0)</f>
        <v>0</v>
      </c>
      <c r="AH392" s="33">
        <f>IF(AQ392="0",BJ392,0)</f>
        <v>0</v>
      </c>
      <c r="AI392" s="58" t="s">
        <v>61</v>
      </c>
      <c r="AJ392" s="54">
        <f>IF(AN392=0,M392,0)</f>
        <v>0</v>
      </c>
      <c r="AK392" s="54">
        <f>IF(AN392=15,M392,0)</f>
        <v>0</v>
      </c>
      <c r="AL392" s="54">
        <f>IF(AN392=21,M392,0)</f>
        <v>0</v>
      </c>
      <c r="AN392" s="33">
        <v>21</v>
      </c>
      <c r="AO392" s="33">
        <f>L392*1</f>
        <v>0</v>
      </c>
      <c r="AP392" s="33">
        <f>L392*(1-1)</f>
        <v>0</v>
      </c>
      <c r="AQ392" s="60" t="s">
        <v>80</v>
      </c>
      <c r="AV392" s="33">
        <f>AW392+AX392</f>
        <v>0</v>
      </c>
      <c r="AW392" s="33">
        <f>K392*AO392</f>
        <v>0</v>
      </c>
      <c r="AX392" s="33">
        <f>K392*AP392</f>
        <v>0</v>
      </c>
      <c r="AY392" s="61" t="s">
        <v>1004</v>
      </c>
      <c r="AZ392" s="61" t="s">
        <v>1025</v>
      </c>
      <c r="BA392" s="58" t="s">
        <v>1037</v>
      </c>
      <c r="BC392" s="33">
        <f>AW392+AX392</f>
        <v>0</v>
      </c>
      <c r="BD392" s="33">
        <f>L392/(100-BE392)*100</f>
        <v>0</v>
      </c>
      <c r="BE392" s="33">
        <v>0</v>
      </c>
      <c r="BF392" s="33">
        <f>392</f>
        <v>392</v>
      </c>
      <c r="BH392" s="54">
        <f>K392*AO392</f>
        <v>0</v>
      </c>
      <c r="BI392" s="54">
        <f>K392*AP392</f>
        <v>0</v>
      </c>
      <c r="BJ392" s="54">
        <f>K392*L392</f>
        <v>0</v>
      </c>
      <c r="BK392" s="54" t="s">
        <v>1047</v>
      </c>
      <c r="BL392" s="33">
        <v>89</v>
      </c>
    </row>
    <row r="393" spans="1:14" ht="12.75">
      <c r="A393" s="17"/>
      <c r="D393" s="143" t="s">
        <v>663</v>
      </c>
      <c r="E393" s="144"/>
      <c r="F393" s="144"/>
      <c r="G393" s="144"/>
      <c r="H393" s="144"/>
      <c r="I393" s="144"/>
      <c r="K393" s="75">
        <v>1</v>
      </c>
      <c r="M393" s="14"/>
      <c r="N393" s="17"/>
    </row>
    <row r="394" spans="1:64" ht="12.75">
      <c r="A394" s="38" t="s">
        <v>162</v>
      </c>
      <c r="B394" s="45" t="s">
        <v>61</v>
      </c>
      <c r="C394" s="45" t="s">
        <v>346</v>
      </c>
      <c r="D394" s="141" t="s">
        <v>748</v>
      </c>
      <c r="E394" s="142"/>
      <c r="F394" s="142"/>
      <c r="G394" s="142"/>
      <c r="H394" s="142"/>
      <c r="I394" s="142"/>
      <c r="J394" s="45" t="s">
        <v>976</v>
      </c>
      <c r="K394" s="74">
        <f>'Stavební rozpočet'!K394</f>
        <v>1</v>
      </c>
      <c r="L394" s="53">
        <f>'Stavební rozpočet'!L394</f>
        <v>0</v>
      </c>
      <c r="M394" s="65">
        <f>K394*L394</f>
        <v>0</v>
      </c>
      <c r="N394" s="17"/>
      <c r="Z394" s="33">
        <f>IF(AQ394="5",BJ394,0)</f>
        <v>0</v>
      </c>
      <c r="AB394" s="33">
        <f>IF(AQ394="1",BH394,0)</f>
        <v>0</v>
      </c>
      <c r="AC394" s="33">
        <f>IF(AQ394="1",BI394,0)</f>
        <v>0</v>
      </c>
      <c r="AD394" s="33">
        <f>IF(AQ394="7",BH394,0)</f>
        <v>0</v>
      </c>
      <c r="AE394" s="33">
        <f>IF(AQ394="7",BI394,0)</f>
        <v>0</v>
      </c>
      <c r="AF394" s="33">
        <f>IF(AQ394="2",BH394,0)</f>
        <v>0</v>
      </c>
      <c r="AG394" s="33">
        <f>IF(AQ394="2",BI394,0)</f>
        <v>0</v>
      </c>
      <c r="AH394" s="33">
        <f>IF(AQ394="0",BJ394,0)</f>
        <v>0</v>
      </c>
      <c r="AI394" s="58" t="s">
        <v>61</v>
      </c>
      <c r="AJ394" s="53">
        <f>IF(AN394=0,M394,0)</f>
        <v>0</v>
      </c>
      <c r="AK394" s="53">
        <f>IF(AN394=15,M394,0)</f>
        <v>0</v>
      </c>
      <c r="AL394" s="53">
        <f>IF(AN394=21,M394,0)</f>
        <v>0</v>
      </c>
      <c r="AN394" s="33">
        <v>21</v>
      </c>
      <c r="AO394" s="33">
        <f>L394*0.530612244897959</f>
        <v>0</v>
      </c>
      <c r="AP394" s="33">
        <f>L394*(1-0.530612244897959)</f>
        <v>0</v>
      </c>
      <c r="AQ394" s="59" t="s">
        <v>80</v>
      </c>
      <c r="AV394" s="33">
        <f>AW394+AX394</f>
        <v>0</v>
      </c>
      <c r="AW394" s="33">
        <f>K394*AO394</f>
        <v>0</v>
      </c>
      <c r="AX394" s="33">
        <f>K394*AP394</f>
        <v>0</v>
      </c>
      <c r="AY394" s="61" t="s">
        <v>1004</v>
      </c>
      <c r="AZ394" s="61" t="s">
        <v>1025</v>
      </c>
      <c r="BA394" s="58" t="s">
        <v>1037</v>
      </c>
      <c r="BC394" s="33">
        <f>AW394+AX394</f>
        <v>0</v>
      </c>
      <c r="BD394" s="33">
        <f>L394/(100-BE394)*100</f>
        <v>0</v>
      </c>
      <c r="BE394" s="33">
        <v>0</v>
      </c>
      <c r="BF394" s="33">
        <f>394</f>
        <v>394</v>
      </c>
      <c r="BH394" s="53">
        <f>K394*AO394</f>
        <v>0</v>
      </c>
      <c r="BI394" s="53">
        <f>K394*AP394</f>
        <v>0</v>
      </c>
      <c r="BJ394" s="53">
        <f>K394*L394</f>
        <v>0</v>
      </c>
      <c r="BK394" s="53" t="s">
        <v>1046</v>
      </c>
      <c r="BL394" s="33">
        <v>89</v>
      </c>
    </row>
    <row r="395" spans="1:14" ht="12.75">
      <c r="A395" s="17"/>
      <c r="D395" s="143" t="s">
        <v>663</v>
      </c>
      <c r="E395" s="144"/>
      <c r="F395" s="144"/>
      <c r="G395" s="144"/>
      <c r="H395" s="144"/>
      <c r="I395" s="144"/>
      <c r="K395" s="75">
        <v>1</v>
      </c>
      <c r="M395" s="14"/>
      <c r="N395" s="17"/>
    </row>
    <row r="396" spans="1:64" ht="12.75">
      <c r="A396" s="38" t="s">
        <v>163</v>
      </c>
      <c r="B396" s="45" t="s">
        <v>61</v>
      </c>
      <c r="C396" s="45" t="s">
        <v>347</v>
      </c>
      <c r="D396" s="141" t="s">
        <v>749</v>
      </c>
      <c r="E396" s="142"/>
      <c r="F396" s="142"/>
      <c r="G396" s="142"/>
      <c r="H396" s="142"/>
      <c r="I396" s="142"/>
      <c r="J396" s="45" t="s">
        <v>977</v>
      </c>
      <c r="K396" s="74">
        <f>'Stavební rozpočet'!K396</f>
        <v>60</v>
      </c>
      <c r="L396" s="53">
        <f>'Stavební rozpočet'!L396</f>
        <v>0</v>
      </c>
      <c r="M396" s="65">
        <f>K396*L396</f>
        <v>0</v>
      </c>
      <c r="N396" s="17"/>
      <c r="Z396" s="33">
        <f>IF(AQ396="5",BJ396,0)</f>
        <v>0</v>
      </c>
      <c r="AB396" s="33">
        <f>IF(AQ396="1",BH396,0)</f>
        <v>0</v>
      </c>
      <c r="AC396" s="33">
        <f>IF(AQ396="1",BI396,0)</f>
        <v>0</v>
      </c>
      <c r="AD396" s="33">
        <f>IF(AQ396="7",BH396,0)</f>
        <v>0</v>
      </c>
      <c r="AE396" s="33">
        <f>IF(AQ396="7",BI396,0)</f>
        <v>0</v>
      </c>
      <c r="AF396" s="33">
        <f>IF(AQ396="2",BH396,0)</f>
        <v>0</v>
      </c>
      <c r="AG396" s="33">
        <f>IF(AQ396="2",BI396,0)</f>
        <v>0</v>
      </c>
      <c r="AH396" s="33">
        <f>IF(AQ396="0",BJ396,0)</f>
        <v>0</v>
      </c>
      <c r="AI396" s="58" t="s">
        <v>61</v>
      </c>
      <c r="AJ396" s="53">
        <f>IF(AN396=0,M396,0)</f>
        <v>0</v>
      </c>
      <c r="AK396" s="53">
        <f>IF(AN396=15,M396,0)</f>
        <v>0</v>
      </c>
      <c r="AL396" s="53">
        <f>IF(AN396=21,M396,0)</f>
        <v>0</v>
      </c>
      <c r="AN396" s="33">
        <v>21</v>
      </c>
      <c r="AO396" s="33">
        <f>L396*0</f>
        <v>0</v>
      </c>
      <c r="AP396" s="33">
        <f>L396*(1-0)</f>
        <v>0</v>
      </c>
      <c r="AQ396" s="59" t="s">
        <v>80</v>
      </c>
      <c r="AV396" s="33">
        <f>AW396+AX396</f>
        <v>0</v>
      </c>
      <c r="AW396" s="33">
        <f>K396*AO396</f>
        <v>0</v>
      </c>
      <c r="AX396" s="33">
        <f>K396*AP396</f>
        <v>0</v>
      </c>
      <c r="AY396" s="61" t="s">
        <v>1004</v>
      </c>
      <c r="AZ396" s="61" t="s">
        <v>1025</v>
      </c>
      <c r="BA396" s="58" t="s">
        <v>1037</v>
      </c>
      <c r="BC396" s="33">
        <f>AW396+AX396</f>
        <v>0</v>
      </c>
      <c r="BD396" s="33">
        <f>L396/(100-BE396)*100</f>
        <v>0</v>
      </c>
      <c r="BE396" s="33">
        <v>0</v>
      </c>
      <c r="BF396" s="33">
        <f>396</f>
        <v>396</v>
      </c>
      <c r="BH396" s="53">
        <f>K396*AO396</f>
        <v>0</v>
      </c>
      <c r="BI396" s="53">
        <f>K396*AP396</f>
        <v>0</v>
      </c>
      <c r="BJ396" s="53">
        <f>K396*L396</f>
        <v>0</v>
      </c>
      <c r="BK396" s="53" t="s">
        <v>1046</v>
      </c>
      <c r="BL396" s="33">
        <v>89</v>
      </c>
    </row>
    <row r="397" spans="1:14" ht="12.75">
      <c r="A397" s="17"/>
      <c r="D397" s="143" t="s">
        <v>750</v>
      </c>
      <c r="E397" s="144"/>
      <c r="F397" s="144"/>
      <c r="G397" s="144"/>
      <c r="H397" s="144"/>
      <c r="I397" s="144"/>
      <c r="K397" s="75">
        <v>60</v>
      </c>
      <c r="M397" s="14"/>
      <c r="N397" s="17"/>
    </row>
    <row r="398" spans="1:47" ht="12.75">
      <c r="A398" s="37"/>
      <c r="B398" s="44" t="s">
        <v>61</v>
      </c>
      <c r="C398" s="44" t="s">
        <v>348</v>
      </c>
      <c r="D398" s="139" t="s">
        <v>751</v>
      </c>
      <c r="E398" s="140"/>
      <c r="F398" s="140"/>
      <c r="G398" s="140"/>
      <c r="H398" s="140"/>
      <c r="I398" s="140"/>
      <c r="J398" s="50" t="s">
        <v>59</v>
      </c>
      <c r="K398" s="50" t="s">
        <v>59</v>
      </c>
      <c r="L398" s="50" t="s">
        <v>59</v>
      </c>
      <c r="M398" s="64">
        <f>SUM(M399:M399)</f>
        <v>0</v>
      </c>
      <c r="N398" s="17"/>
      <c r="AI398" s="58" t="s">
        <v>61</v>
      </c>
      <c r="AS398" s="68">
        <f>SUM(AJ399:AJ399)</f>
        <v>0</v>
      </c>
      <c r="AT398" s="68">
        <f>SUM(AK399:AK399)</f>
        <v>0</v>
      </c>
      <c r="AU398" s="68">
        <f>SUM(AL399:AL399)</f>
        <v>0</v>
      </c>
    </row>
    <row r="399" spans="1:64" ht="12.75">
      <c r="A399" s="38" t="s">
        <v>164</v>
      </c>
      <c r="B399" s="45" t="s">
        <v>61</v>
      </c>
      <c r="C399" s="45" t="s">
        <v>349</v>
      </c>
      <c r="D399" s="141" t="s">
        <v>752</v>
      </c>
      <c r="E399" s="142"/>
      <c r="F399" s="142"/>
      <c r="G399" s="142"/>
      <c r="H399" s="142"/>
      <c r="I399" s="142"/>
      <c r="J399" s="45" t="s">
        <v>971</v>
      </c>
      <c r="K399" s="74">
        <f>'Stavební rozpočet'!K399</f>
        <v>16</v>
      </c>
      <c r="L399" s="53">
        <f>'Stavební rozpočet'!L399</f>
        <v>0</v>
      </c>
      <c r="M399" s="65">
        <f>K399*L399</f>
        <v>0</v>
      </c>
      <c r="N399" s="17"/>
      <c r="Z399" s="33">
        <f>IF(AQ399="5",BJ399,0)</f>
        <v>0</v>
      </c>
      <c r="AB399" s="33">
        <f>IF(AQ399="1",BH399,0)</f>
        <v>0</v>
      </c>
      <c r="AC399" s="33">
        <f>IF(AQ399="1",BI399,0)</f>
        <v>0</v>
      </c>
      <c r="AD399" s="33">
        <f>IF(AQ399="7",BH399,0)</f>
        <v>0</v>
      </c>
      <c r="AE399" s="33">
        <f>IF(AQ399="7",BI399,0)</f>
        <v>0</v>
      </c>
      <c r="AF399" s="33">
        <f>IF(AQ399="2",BH399,0)</f>
        <v>0</v>
      </c>
      <c r="AG399" s="33">
        <f>IF(AQ399="2",BI399,0)</f>
        <v>0</v>
      </c>
      <c r="AH399" s="33">
        <f>IF(AQ399="0",BJ399,0)</f>
        <v>0</v>
      </c>
      <c r="AI399" s="58" t="s">
        <v>61</v>
      </c>
      <c r="AJ399" s="53">
        <f>IF(AN399=0,M399,0)</f>
        <v>0</v>
      </c>
      <c r="AK399" s="53">
        <f>IF(AN399=15,M399,0)</f>
        <v>0</v>
      </c>
      <c r="AL399" s="53">
        <f>IF(AN399=21,M399,0)</f>
        <v>0</v>
      </c>
      <c r="AN399" s="33">
        <v>21</v>
      </c>
      <c r="AO399" s="33">
        <f>L399*0</f>
        <v>0</v>
      </c>
      <c r="AP399" s="33">
        <f>L399*(1-0)</f>
        <v>0</v>
      </c>
      <c r="AQ399" s="59" t="s">
        <v>80</v>
      </c>
      <c r="AV399" s="33">
        <f>AW399+AX399</f>
        <v>0</v>
      </c>
      <c r="AW399" s="33">
        <f>K399*AO399</f>
        <v>0</v>
      </c>
      <c r="AX399" s="33">
        <f>K399*AP399</f>
        <v>0</v>
      </c>
      <c r="AY399" s="61" t="s">
        <v>1005</v>
      </c>
      <c r="AZ399" s="61" t="s">
        <v>1025</v>
      </c>
      <c r="BA399" s="58" t="s">
        <v>1037</v>
      </c>
      <c r="BC399" s="33">
        <f>AW399+AX399</f>
        <v>0</v>
      </c>
      <c r="BD399" s="33">
        <f>L399/(100-BE399)*100</f>
        <v>0</v>
      </c>
      <c r="BE399" s="33">
        <v>0</v>
      </c>
      <c r="BF399" s="33">
        <f>399</f>
        <v>399</v>
      </c>
      <c r="BH399" s="53">
        <f>K399*AO399</f>
        <v>0</v>
      </c>
      <c r="BI399" s="53">
        <f>K399*AP399</f>
        <v>0</v>
      </c>
      <c r="BJ399" s="53">
        <f>K399*L399</f>
        <v>0</v>
      </c>
      <c r="BK399" s="53" t="s">
        <v>1046</v>
      </c>
      <c r="BL399" s="33">
        <v>892</v>
      </c>
    </row>
    <row r="400" spans="1:14" ht="12.75">
      <c r="A400" s="17"/>
      <c r="D400" s="143" t="s">
        <v>753</v>
      </c>
      <c r="E400" s="144"/>
      <c r="F400" s="144"/>
      <c r="G400" s="144"/>
      <c r="H400" s="144"/>
      <c r="I400" s="144"/>
      <c r="K400" s="75">
        <v>6</v>
      </c>
      <c r="M400" s="14"/>
      <c r="N400" s="17"/>
    </row>
    <row r="401" spans="1:14" ht="12.75">
      <c r="A401" s="17"/>
      <c r="D401" s="143" t="s">
        <v>754</v>
      </c>
      <c r="E401" s="144"/>
      <c r="F401" s="144"/>
      <c r="G401" s="144"/>
      <c r="H401" s="144"/>
      <c r="I401" s="144"/>
      <c r="K401" s="75">
        <v>6</v>
      </c>
      <c r="M401" s="14"/>
      <c r="N401" s="17"/>
    </row>
    <row r="402" spans="1:14" ht="12.75">
      <c r="A402" s="17"/>
      <c r="D402" s="143" t="s">
        <v>755</v>
      </c>
      <c r="E402" s="144"/>
      <c r="F402" s="144"/>
      <c r="G402" s="144"/>
      <c r="H402" s="144"/>
      <c r="I402" s="144"/>
      <c r="K402" s="75">
        <v>4</v>
      </c>
      <c r="M402" s="14"/>
      <c r="N402" s="17"/>
    </row>
    <row r="403" spans="1:47" ht="12.75">
      <c r="A403" s="37"/>
      <c r="B403" s="44" t="s">
        <v>61</v>
      </c>
      <c r="C403" s="44" t="s">
        <v>350</v>
      </c>
      <c r="D403" s="139" t="s">
        <v>756</v>
      </c>
      <c r="E403" s="140"/>
      <c r="F403" s="140"/>
      <c r="G403" s="140"/>
      <c r="H403" s="140"/>
      <c r="I403" s="140"/>
      <c r="J403" s="50" t="s">
        <v>59</v>
      </c>
      <c r="K403" s="50" t="s">
        <v>59</v>
      </c>
      <c r="L403" s="50" t="s">
        <v>59</v>
      </c>
      <c r="M403" s="64">
        <f>SUM(M404:M404)</f>
        <v>0</v>
      </c>
      <c r="N403" s="17"/>
      <c r="AI403" s="58" t="s">
        <v>61</v>
      </c>
      <c r="AS403" s="68">
        <f>SUM(AJ404:AJ404)</f>
        <v>0</v>
      </c>
      <c r="AT403" s="68">
        <f>SUM(AK404:AK404)</f>
        <v>0</v>
      </c>
      <c r="AU403" s="68">
        <f>SUM(AL404:AL404)</f>
        <v>0</v>
      </c>
    </row>
    <row r="404" spans="1:64" ht="12.75">
      <c r="A404" s="38" t="s">
        <v>165</v>
      </c>
      <c r="B404" s="45" t="s">
        <v>61</v>
      </c>
      <c r="C404" s="45" t="s">
        <v>351</v>
      </c>
      <c r="D404" s="141" t="s">
        <v>757</v>
      </c>
      <c r="E404" s="142"/>
      <c r="F404" s="142"/>
      <c r="G404" s="142"/>
      <c r="H404" s="142"/>
      <c r="I404" s="142"/>
      <c r="J404" s="45" t="s">
        <v>968</v>
      </c>
      <c r="K404" s="74">
        <f>'Stavební rozpočet'!K404</f>
        <v>171.56</v>
      </c>
      <c r="L404" s="53">
        <f>'Stavební rozpočet'!L404</f>
        <v>0</v>
      </c>
      <c r="M404" s="65">
        <f>K404*L404</f>
        <v>0</v>
      </c>
      <c r="N404" s="17"/>
      <c r="Z404" s="33">
        <f>IF(AQ404="5",BJ404,0)</f>
        <v>0</v>
      </c>
      <c r="AB404" s="33">
        <f>IF(AQ404="1",BH404,0)</f>
        <v>0</v>
      </c>
      <c r="AC404" s="33">
        <f>IF(AQ404="1",BI404,0)</f>
        <v>0</v>
      </c>
      <c r="AD404" s="33">
        <f>IF(AQ404="7",BH404,0)</f>
        <v>0</v>
      </c>
      <c r="AE404" s="33">
        <f>IF(AQ404="7",BI404,0)</f>
        <v>0</v>
      </c>
      <c r="AF404" s="33">
        <f>IF(AQ404="2",BH404,0)</f>
        <v>0</v>
      </c>
      <c r="AG404" s="33">
        <f>IF(AQ404="2",BI404,0)</f>
        <v>0</v>
      </c>
      <c r="AH404" s="33">
        <f>IF(AQ404="0",BJ404,0)</f>
        <v>0</v>
      </c>
      <c r="AI404" s="58" t="s">
        <v>61</v>
      </c>
      <c r="AJ404" s="53">
        <f>IF(AN404=0,M404,0)</f>
        <v>0</v>
      </c>
      <c r="AK404" s="53">
        <f>IF(AN404=15,M404,0)</f>
        <v>0</v>
      </c>
      <c r="AL404" s="53">
        <f>IF(AN404=21,M404,0)</f>
        <v>0</v>
      </c>
      <c r="AN404" s="33">
        <v>21</v>
      </c>
      <c r="AO404" s="33">
        <f>L404*0</f>
        <v>0</v>
      </c>
      <c r="AP404" s="33">
        <f>L404*(1-0)</f>
        <v>0</v>
      </c>
      <c r="AQ404" s="59" t="s">
        <v>80</v>
      </c>
      <c r="AV404" s="33">
        <f>AW404+AX404</f>
        <v>0</v>
      </c>
      <c r="AW404" s="33">
        <f>K404*AO404</f>
        <v>0</v>
      </c>
      <c r="AX404" s="33">
        <f>K404*AP404</f>
        <v>0</v>
      </c>
      <c r="AY404" s="61" t="s">
        <v>1006</v>
      </c>
      <c r="AZ404" s="61" t="s">
        <v>1025</v>
      </c>
      <c r="BA404" s="58" t="s">
        <v>1037</v>
      </c>
      <c r="BC404" s="33">
        <f>AW404+AX404</f>
        <v>0</v>
      </c>
      <c r="BD404" s="33">
        <f>L404/(100-BE404)*100</f>
        <v>0</v>
      </c>
      <c r="BE404" s="33">
        <v>0</v>
      </c>
      <c r="BF404" s="33">
        <f>404</f>
        <v>404</v>
      </c>
      <c r="BH404" s="53">
        <f>K404*AO404</f>
        <v>0</v>
      </c>
      <c r="BI404" s="53">
        <f>K404*AP404</f>
        <v>0</v>
      </c>
      <c r="BJ404" s="53">
        <f>K404*L404</f>
        <v>0</v>
      </c>
      <c r="BK404" s="53" t="s">
        <v>1046</v>
      </c>
      <c r="BL404" s="33">
        <v>899</v>
      </c>
    </row>
    <row r="405" spans="1:14" ht="12.75">
      <c r="A405" s="17"/>
      <c r="D405" s="143" t="s">
        <v>758</v>
      </c>
      <c r="E405" s="144"/>
      <c r="F405" s="144"/>
      <c r="G405" s="144"/>
      <c r="H405" s="144"/>
      <c r="I405" s="144"/>
      <c r="K405" s="75">
        <v>67.46</v>
      </c>
      <c r="M405" s="14"/>
      <c r="N405" s="17"/>
    </row>
    <row r="406" spans="1:14" ht="12.75">
      <c r="A406" s="17"/>
      <c r="D406" s="143" t="s">
        <v>759</v>
      </c>
      <c r="E406" s="144"/>
      <c r="F406" s="144"/>
      <c r="G406" s="144"/>
      <c r="H406" s="144"/>
      <c r="I406" s="144"/>
      <c r="K406" s="75">
        <v>55.7</v>
      </c>
      <c r="M406" s="14"/>
      <c r="N406" s="17"/>
    </row>
    <row r="407" spans="1:14" ht="12.75">
      <c r="A407" s="17"/>
      <c r="D407" s="143" t="s">
        <v>760</v>
      </c>
      <c r="E407" s="144"/>
      <c r="F407" s="144"/>
      <c r="G407" s="144"/>
      <c r="H407" s="144"/>
      <c r="I407" s="144"/>
      <c r="K407" s="75">
        <v>48.4</v>
      </c>
      <c r="M407" s="14"/>
      <c r="N407" s="17"/>
    </row>
    <row r="408" spans="1:47" ht="12.75">
      <c r="A408" s="37"/>
      <c r="B408" s="44" t="s">
        <v>61</v>
      </c>
      <c r="C408" s="44" t="s">
        <v>170</v>
      </c>
      <c r="D408" s="139" t="s">
        <v>761</v>
      </c>
      <c r="E408" s="140"/>
      <c r="F408" s="140"/>
      <c r="G408" s="140"/>
      <c r="H408" s="140"/>
      <c r="I408" s="140"/>
      <c r="J408" s="50" t="s">
        <v>59</v>
      </c>
      <c r="K408" s="50" t="s">
        <v>59</v>
      </c>
      <c r="L408" s="50" t="s">
        <v>59</v>
      </c>
      <c r="M408" s="64">
        <f>SUM(M409:M418)</f>
        <v>0</v>
      </c>
      <c r="N408" s="17"/>
      <c r="AI408" s="58" t="s">
        <v>61</v>
      </c>
      <c r="AS408" s="68">
        <f>SUM(AJ409:AJ418)</f>
        <v>0</v>
      </c>
      <c r="AT408" s="68">
        <f>SUM(AK409:AK418)</f>
        <v>0</v>
      </c>
      <c r="AU408" s="68">
        <f>SUM(AL409:AL418)</f>
        <v>0</v>
      </c>
    </row>
    <row r="409" spans="1:64" ht="12.75">
      <c r="A409" s="38" t="s">
        <v>166</v>
      </c>
      <c r="B409" s="45" t="s">
        <v>61</v>
      </c>
      <c r="C409" s="45" t="s">
        <v>352</v>
      </c>
      <c r="D409" s="141" t="s">
        <v>762</v>
      </c>
      <c r="E409" s="142"/>
      <c r="F409" s="142"/>
      <c r="G409" s="142"/>
      <c r="H409" s="142"/>
      <c r="I409" s="142"/>
      <c r="J409" s="45" t="s">
        <v>968</v>
      </c>
      <c r="K409" s="74">
        <f>'Stavební rozpočet'!K409</f>
        <v>16</v>
      </c>
      <c r="L409" s="53">
        <f>'Stavební rozpočet'!L409</f>
        <v>0</v>
      </c>
      <c r="M409" s="65">
        <f>K409*L409</f>
        <v>0</v>
      </c>
      <c r="N409" s="17"/>
      <c r="Z409" s="33">
        <f>IF(AQ409="5",BJ409,0)</f>
        <v>0</v>
      </c>
      <c r="AB409" s="33">
        <f>IF(AQ409="1",BH409,0)</f>
        <v>0</v>
      </c>
      <c r="AC409" s="33">
        <f>IF(AQ409="1",BI409,0)</f>
        <v>0</v>
      </c>
      <c r="AD409" s="33">
        <f>IF(AQ409="7",BH409,0)</f>
        <v>0</v>
      </c>
      <c r="AE409" s="33">
        <f>IF(AQ409="7",BI409,0)</f>
        <v>0</v>
      </c>
      <c r="AF409" s="33">
        <f>IF(AQ409="2",BH409,0)</f>
        <v>0</v>
      </c>
      <c r="AG409" s="33">
        <f>IF(AQ409="2",BI409,0)</f>
        <v>0</v>
      </c>
      <c r="AH409" s="33">
        <f>IF(AQ409="0",BJ409,0)</f>
        <v>0</v>
      </c>
      <c r="AI409" s="58" t="s">
        <v>61</v>
      </c>
      <c r="AJ409" s="53">
        <f>IF(AN409=0,M409,0)</f>
        <v>0</v>
      </c>
      <c r="AK409" s="53">
        <f>IF(AN409=15,M409,0)</f>
        <v>0</v>
      </c>
      <c r="AL409" s="53">
        <f>IF(AN409=21,M409,0)</f>
        <v>0</v>
      </c>
      <c r="AN409" s="33">
        <v>21</v>
      </c>
      <c r="AO409" s="33">
        <f>L409*0.669161603888214</f>
        <v>0</v>
      </c>
      <c r="AP409" s="33">
        <f>L409*(1-0.669161603888214)</f>
        <v>0</v>
      </c>
      <c r="AQ409" s="59" t="s">
        <v>80</v>
      </c>
      <c r="AV409" s="33">
        <f>AW409+AX409</f>
        <v>0</v>
      </c>
      <c r="AW409" s="33">
        <f>K409*AO409</f>
        <v>0</v>
      </c>
      <c r="AX409" s="33">
        <f>K409*AP409</f>
        <v>0</v>
      </c>
      <c r="AY409" s="61" t="s">
        <v>1007</v>
      </c>
      <c r="AZ409" s="61" t="s">
        <v>1026</v>
      </c>
      <c r="BA409" s="58" t="s">
        <v>1037</v>
      </c>
      <c r="BC409" s="33">
        <f>AW409+AX409</f>
        <v>0</v>
      </c>
      <c r="BD409" s="33">
        <f>L409/(100-BE409)*100</f>
        <v>0</v>
      </c>
      <c r="BE409" s="33">
        <v>0</v>
      </c>
      <c r="BF409" s="33">
        <f>409</f>
        <v>409</v>
      </c>
      <c r="BH409" s="53">
        <f>K409*AO409</f>
        <v>0</v>
      </c>
      <c r="BI409" s="53">
        <f>K409*AP409</f>
        <v>0</v>
      </c>
      <c r="BJ409" s="53">
        <f>K409*L409</f>
        <v>0</v>
      </c>
      <c r="BK409" s="53" t="s">
        <v>1046</v>
      </c>
      <c r="BL409" s="33">
        <v>91</v>
      </c>
    </row>
    <row r="410" spans="1:14" ht="12.75">
      <c r="A410" s="17"/>
      <c r="D410" s="143" t="s">
        <v>434</v>
      </c>
      <c r="E410" s="144"/>
      <c r="F410" s="144"/>
      <c r="G410" s="144"/>
      <c r="H410" s="144"/>
      <c r="I410" s="144"/>
      <c r="K410" s="75">
        <v>2</v>
      </c>
      <c r="M410" s="14"/>
      <c r="N410" s="17"/>
    </row>
    <row r="411" spans="1:14" ht="12.75">
      <c r="A411" s="17"/>
      <c r="D411" s="143" t="s">
        <v>435</v>
      </c>
      <c r="E411" s="144"/>
      <c r="F411" s="144"/>
      <c r="G411" s="144"/>
      <c r="H411" s="144"/>
      <c r="I411" s="144"/>
      <c r="K411" s="75">
        <v>2</v>
      </c>
      <c r="M411" s="14"/>
      <c r="N411" s="17"/>
    </row>
    <row r="412" spans="1:14" ht="12.75">
      <c r="A412" s="17"/>
      <c r="D412" s="143" t="s">
        <v>436</v>
      </c>
      <c r="E412" s="144"/>
      <c r="F412" s="144"/>
      <c r="G412" s="144"/>
      <c r="H412" s="144"/>
      <c r="I412" s="144"/>
      <c r="K412" s="75">
        <v>2</v>
      </c>
      <c r="M412" s="14"/>
      <c r="N412" s="17"/>
    </row>
    <row r="413" spans="1:14" ht="12.75">
      <c r="A413" s="17"/>
      <c r="D413" s="143" t="s">
        <v>437</v>
      </c>
      <c r="E413" s="144"/>
      <c r="F413" s="144"/>
      <c r="G413" s="144"/>
      <c r="H413" s="144"/>
      <c r="I413" s="144"/>
      <c r="K413" s="75">
        <v>2</v>
      </c>
      <c r="M413" s="14"/>
      <c r="N413" s="17"/>
    </row>
    <row r="414" spans="1:14" ht="12.75">
      <c r="A414" s="17"/>
      <c r="D414" s="143" t="s">
        <v>438</v>
      </c>
      <c r="E414" s="144"/>
      <c r="F414" s="144"/>
      <c r="G414" s="144"/>
      <c r="H414" s="144"/>
      <c r="I414" s="144"/>
      <c r="K414" s="75">
        <v>2</v>
      </c>
      <c r="M414" s="14"/>
      <c r="N414" s="17"/>
    </row>
    <row r="415" spans="1:14" ht="12.75">
      <c r="A415" s="17"/>
      <c r="D415" s="143" t="s">
        <v>439</v>
      </c>
      <c r="E415" s="144"/>
      <c r="F415" s="144"/>
      <c r="G415" s="144"/>
      <c r="H415" s="144"/>
      <c r="I415" s="144"/>
      <c r="K415" s="75">
        <v>2</v>
      </c>
      <c r="M415" s="14"/>
      <c r="N415" s="17"/>
    </row>
    <row r="416" spans="1:14" ht="12.75">
      <c r="A416" s="17"/>
      <c r="D416" s="143" t="s">
        <v>763</v>
      </c>
      <c r="E416" s="144"/>
      <c r="F416" s="144"/>
      <c r="G416" s="144"/>
      <c r="H416" s="144"/>
      <c r="I416" s="144"/>
      <c r="K416" s="75">
        <v>2</v>
      </c>
      <c r="M416" s="14"/>
      <c r="N416" s="17"/>
    </row>
    <row r="417" spans="1:14" ht="12.75">
      <c r="A417" s="17"/>
      <c r="D417" s="143" t="s">
        <v>703</v>
      </c>
      <c r="E417" s="144"/>
      <c r="F417" s="144"/>
      <c r="G417" s="144"/>
      <c r="H417" s="144"/>
      <c r="I417" s="144"/>
      <c r="K417" s="75">
        <v>2</v>
      </c>
      <c r="M417" s="14"/>
      <c r="N417" s="17"/>
    </row>
    <row r="418" spans="1:64" ht="12.75">
      <c r="A418" s="39" t="s">
        <v>167</v>
      </c>
      <c r="B418" s="46" t="s">
        <v>61</v>
      </c>
      <c r="C418" s="46" t="s">
        <v>353</v>
      </c>
      <c r="D418" s="148" t="s">
        <v>764</v>
      </c>
      <c r="E418" s="149"/>
      <c r="F418" s="149"/>
      <c r="G418" s="149"/>
      <c r="H418" s="149"/>
      <c r="I418" s="149"/>
      <c r="J418" s="46" t="s">
        <v>975</v>
      </c>
      <c r="K418" s="78">
        <f>'Stavební rozpočet'!K418</f>
        <v>16.48</v>
      </c>
      <c r="L418" s="54">
        <f>'Stavební rozpočet'!L418</f>
        <v>0</v>
      </c>
      <c r="M418" s="66">
        <f>K418*L418</f>
        <v>0</v>
      </c>
      <c r="N418" s="17"/>
      <c r="Z418" s="33">
        <f>IF(AQ418="5",BJ418,0)</f>
        <v>0</v>
      </c>
      <c r="AB418" s="33">
        <f>IF(AQ418="1",BH418,0)</f>
        <v>0</v>
      </c>
      <c r="AC418" s="33">
        <f>IF(AQ418="1",BI418,0)</f>
        <v>0</v>
      </c>
      <c r="AD418" s="33">
        <f>IF(AQ418="7",BH418,0)</f>
        <v>0</v>
      </c>
      <c r="AE418" s="33">
        <f>IF(AQ418="7",BI418,0)</f>
        <v>0</v>
      </c>
      <c r="AF418" s="33">
        <f>IF(AQ418="2",BH418,0)</f>
        <v>0</v>
      </c>
      <c r="AG418" s="33">
        <f>IF(AQ418="2",BI418,0)</f>
        <v>0</v>
      </c>
      <c r="AH418" s="33">
        <f>IF(AQ418="0",BJ418,0)</f>
        <v>0</v>
      </c>
      <c r="AI418" s="58" t="s">
        <v>61</v>
      </c>
      <c r="AJ418" s="54">
        <f>IF(AN418=0,M418,0)</f>
        <v>0</v>
      </c>
      <c r="AK418" s="54">
        <f>IF(AN418=15,M418,0)</f>
        <v>0</v>
      </c>
      <c r="AL418" s="54">
        <f>IF(AN418=21,M418,0)</f>
        <v>0</v>
      </c>
      <c r="AN418" s="33">
        <v>21</v>
      </c>
      <c r="AO418" s="33">
        <f>L418*1</f>
        <v>0</v>
      </c>
      <c r="AP418" s="33">
        <f>L418*(1-1)</f>
        <v>0</v>
      </c>
      <c r="AQ418" s="60" t="s">
        <v>80</v>
      </c>
      <c r="AV418" s="33">
        <f>AW418+AX418</f>
        <v>0</v>
      </c>
      <c r="AW418" s="33">
        <f>K418*AO418</f>
        <v>0</v>
      </c>
      <c r="AX418" s="33">
        <f>K418*AP418</f>
        <v>0</v>
      </c>
      <c r="AY418" s="61" t="s">
        <v>1007</v>
      </c>
      <c r="AZ418" s="61" t="s">
        <v>1026</v>
      </c>
      <c r="BA418" s="58" t="s">
        <v>1037</v>
      </c>
      <c r="BC418" s="33">
        <f>AW418+AX418</f>
        <v>0</v>
      </c>
      <c r="BD418" s="33">
        <f>L418/(100-BE418)*100</f>
        <v>0</v>
      </c>
      <c r="BE418" s="33">
        <v>0</v>
      </c>
      <c r="BF418" s="33">
        <f>418</f>
        <v>418</v>
      </c>
      <c r="BH418" s="54">
        <f>K418*AO418</f>
        <v>0</v>
      </c>
      <c r="BI418" s="54">
        <f>K418*AP418</f>
        <v>0</v>
      </c>
      <c r="BJ418" s="54">
        <f>K418*L418</f>
        <v>0</v>
      </c>
      <c r="BK418" s="54" t="s">
        <v>1047</v>
      </c>
      <c r="BL418" s="33">
        <v>91</v>
      </c>
    </row>
    <row r="419" spans="1:14" ht="12.75">
      <c r="A419" s="17"/>
      <c r="D419" s="143" t="s">
        <v>765</v>
      </c>
      <c r="E419" s="144"/>
      <c r="F419" s="144"/>
      <c r="G419" s="144"/>
      <c r="H419" s="144"/>
      <c r="I419" s="144"/>
      <c r="K419" s="75">
        <v>16</v>
      </c>
      <c r="M419" s="14"/>
      <c r="N419" s="17"/>
    </row>
    <row r="420" spans="1:14" ht="12.75">
      <c r="A420" s="17"/>
      <c r="D420" s="143" t="s">
        <v>766</v>
      </c>
      <c r="E420" s="144"/>
      <c r="F420" s="144"/>
      <c r="G420" s="144"/>
      <c r="H420" s="144"/>
      <c r="I420" s="144"/>
      <c r="K420" s="75">
        <v>0.48</v>
      </c>
      <c r="M420" s="14"/>
      <c r="N420" s="17"/>
    </row>
    <row r="421" spans="1:47" ht="12.75">
      <c r="A421" s="37"/>
      <c r="B421" s="44" t="s">
        <v>61</v>
      </c>
      <c r="C421" s="44" t="s">
        <v>176</v>
      </c>
      <c r="D421" s="139" t="s">
        <v>767</v>
      </c>
      <c r="E421" s="140"/>
      <c r="F421" s="140"/>
      <c r="G421" s="140"/>
      <c r="H421" s="140"/>
      <c r="I421" s="140"/>
      <c r="J421" s="50" t="s">
        <v>59</v>
      </c>
      <c r="K421" s="50" t="s">
        <v>59</v>
      </c>
      <c r="L421" s="50" t="s">
        <v>59</v>
      </c>
      <c r="M421" s="64">
        <f>SUM(M422:M429)</f>
        <v>0</v>
      </c>
      <c r="N421" s="17"/>
      <c r="AI421" s="58" t="s">
        <v>61</v>
      </c>
      <c r="AS421" s="68">
        <f>SUM(AJ422:AJ429)</f>
        <v>0</v>
      </c>
      <c r="AT421" s="68">
        <f>SUM(AK422:AK429)</f>
        <v>0</v>
      </c>
      <c r="AU421" s="68">
        <f>SUM(AL422:AL429)</f>
        <v>0</v>
      </c>
    </row>
    <row r="422" spans="1:64" ht="12.75">
      <c r="A422" s="38" t="s">
        <v>168</v>
      </c>
      <c r="B422" s="45" t="s">
        <v>61</v>
      </c>
      <c r="C422" s="45" t="s">
        <v>354</v>
      </c>
      <c r="D422" s="141" t="s">
        <v>768</v>
      </c>
      <c r="E422" s="142"/>
      <c r="F422" s="142"/>
      <c r="G422" s="142"/>
      <c r="H422" s="142"/>
      <c r="I422" s="142"/>
      <c r="J422" s="45" t="s">
        <v>975</v>
      </c>
      <c r="K422" s="74">
        <f>'Stavební rozpočet'!K422</f>
        <v>6</v>
      </c>
      <c r="L422" s="53">
        <f>'Stavební rozpočet'!L422</f>
        <v>0</v>
      </c>
      <c r="M422" s="65">
        <f>K422*L422</f>
        <v>0</v>
      </c>
      <c r="N422" s="17"/>
      <c r="Z422" s="33">
        <f>IF(AQ422="5",BJ422,0)</f>
        <v>0</v>
      </c>
      <c r="AB422" s="33">
        <f>IF(AQ422="1",BH422,0)</f>
        <v>0</v>
      </c>
      <c r="AC422" s="33">
        <f>IF(AQ422="1",BI422,0)</f>
        <v>0</v>
      </c>
      <c r="AD422" s="33">
        <f>IF(AQ422="7",BH422,0)</f>
        <v>0</v>
      </c>
      <c r="AE422" s="33">
        <f>IF(AQ422="7",BI422,0)</f>
        <v>0</v>
      </c>
      <c r="AF422" s="33">
        <f>IF(AQ422="2",BH422,0)</f>
        <v>0</v>
      </c>
      <c r="AG422" s="33">
        <f>IF(AQ422="2",BI422,0)</f>
        <v>0</v>
      </c>
      <c r="AH422" s="33">
        <f>IF(AQ422="0",BJ422,0)</f>
        <v>0</v>
      </c>
      <c r="AI422" s="58" t="s">
        <v>61</v>
      </c>
      <c r="AJ422" s="53">
        <f>IF(AN422=0,M422,0)</f>
        <v>0</v>
      </c>
      <c r="AK422" s="53">
        <f>IF(AN422=15,M422,0)</f>
        <v>0</v>
      </c>
      <c r="AL422" s="53">
        <f>IF(AN422=21,M422,0)</f>
        <v>0</v>
      </c>
      <c r="AN422" s="33">
        <v>21</v>
      </c>
      <c r="AO422" s="33">
        <f>L422*0.00911242603550296</f>
        <v>0</v>
      </c>
      <c r="AP422" s="33">
        <f>L422*(1-0.00911242603550296)</f>
        <v>0</v>
      </c>
      <c r="AQ422" s="59" t="s">
        <v>80</v>
      </c>
      <c r="AV422" s="33">
        <f>AW422+AX422</f>
        <v>0</v>
      </c>
      <c r="AW422" s="33">
        <f>K422*AO422</f>
        <v>0</v>
      </c>
      <c r="AX422" s="33">
        <f>K422*AP422</f>
        <v>0</v>
      </c>
      <c r="AY422" s="61" t="s">
        <v>1008</v>
      </c>
      <c r="AZ422" s="61" t="s">
        <v>1026</v>
      </c>
      <c r="BA422" s="58" t="s">
        <v>1037</v>
      </c>
      <c r="BC422" s="33">
        <f>AW422+AX422</f>
        <v>0</v>
      </c>
      <c r="BD422" s="33">
        <f>L422/(100-BE422)*100</f>
        <v>0</v>
      </c>
      <c r="BE422" s="33">
        <v>0</v>
      </c>
      <c r="BF422" s="33">
        <f>422</f>
        <v>422</v>
      </c>
      <c r="BH422" s="53">
        <f>K422*AO422</f>
        <v>0</v>
      </c>
      <c r="BI422" s="53">
        <f>K422*AP422</f>
        <v>0</v>
      </c>
      <c r="BJ422" s="53">
        <f>K422*L422</f>
        <v>0</v>
      </c>
      <c r="BK422" s="53" t="s">
        <v>1046</v>
      </c>
      <c r="BL422" s="33">
        <v>97</v>
      </c>
    </row>
    <row r="423" spans="1:14" ht="12.75">
      <c r="A423" s="17"/>
      <c r="D423" s="143" t="s">
        <v>769</v>
      </c>
      <c r="E423" s="144"/>
      <c r="F423" s="144"/>
      <c r="G423" s="144"/>
      <c r="H423" s="144"/>
      <c r="I423" s="144"/>
      <c r="K423" s="75">
        <v>1</v>
      </c>
      <c r="M423" s="14"/>
      <c r="N423" s="17"/>
    </row>
    <row r="424" spans="1:14" ht="12.75">
      <c r="A424" s="17"/>
      <c r="D424" s="143" t="s">
        <v>770</v>
      </c>
      <c r="E424" s="144"/>
      <c r="F424" s="144"/>
      <c r="G424" s="144"/>
      <c r="H424" s="144"/>
      <c r="I424" s="144"/>
      <c r="K424" s="75">
        <v>5</v>
      </c>
      <c r="M424" s="14"/>
      <c r="N424" s="17"/>
    </row>
    <row r="425" spans="1:64" ht="12.75">
      <c r="A425" s="39" t="s">
        <v>169</v>
      </c>
      <c r="B425" s="46" t="s">
        <v>61</v>
      </c>
      <c r="C425" s="46" t="s">
        <v>355</v>
      </c>
      <c r="D425" s="148" t="s">
        <v>771</v>
      </c>
      <c r="E425" s="149"/>
      <c r="F425" s="149"/>
      <c r="G425" s="149"/>
      <c r="H425" s="149"/>
      <c r="I425" s="149"/>
      <c r="J425" s="46" t="s">
        <v>971</v>
      </c>
      <c r="K425" s="78">
        <f>'Stavební rozpočet'!K425</f>
        <v>1</v>
      </c>
      <c r="L425" s="54">
        <f>'Stavební rozpočet'!L425</f>
        <v>0</v>
      </c>
      <c r="M425" s="66">
        <f>K425*L425</f>
        <v>0</v>
      </c>
      <c r="N425" s="17"/>
      <c r="Z425" s="33">
        <f>IF(AQ425="5",BJ425,0)</f>
        <v>0</v>
      </c>
      <c r="AB425" s="33">
        <f>IF(AQ425="1",BH425,0)</f>
        <v>0</v>
      </c>
      <c r="AC425" s="33">
        <f>IF(AQ425="1",BI425,0)</f>
        <v>0</v>
      </c>
      <c r="AD425" s="33">
        <f>IF(AQ425="7",BH425,0)</f>
        <v>0</v>
      </c>
      <c r="AE425" s="33">
        <f>IF(AQ425="7",BI425,0)</f>
        <v>0</v>
      </c>
      <c r="AF425" s="33">
        <f>IF(AQ425="2",BH425,0)</f>
        <v>0</v>
      </c>
      <c r="AG425" s="33">
        <f>IF(AQ425="2",BI425,0)</f>
        <v>0</v>
      </c>
      <c r="AH425" s="33">
        <f>IF(AQ425="0",BJ425,0)</f>
        <v>0</v>
      </c>
      <c r="AI425" s="58" t="s">
        <v>61</v>
      </c>
      <c r="AJ425" s="54">
        <f>IF(AN425=0,M425,0)</f>
        <v>0</v>
      </c>
      <c r="AK425" s="54">
        <f>IF(AN425=15,M425,0)</f>
        <v>0</v>
      </c>
      <c r="AL425" s="54">
        <f>IF(AN425=21,M425,0)</f>
        <v>0</v>
      </c>
      <c r="AN425" s="33">
        <v>21</v>
      </c>
      <c r="AO425" s="33">
        <f>L425*1</f>
        <v>0</v>
      </c>
      <c r="AP425" s="33">
        <f>L425*(1-1)</f>
        <v>0</v>
      </c>
      <c r="AQ425" s="60" t="s">
        <v>80</v>
      </c>
      <c r="AV425" s="33">
        <f>AW425+AX425</f>
        <v>0</v>
      </c>
      <c r="AW425" s="33">
        <f>K425*AO425</f>
        <v>0</v>
      </c>
      <c r="AX425" s="33">
        <f>K425*AP425</f>
        <v>0</v>
      </c>
      <c r="AY425" s="61" t="s">
        <v>1008</v>
      </c>
      <c r="AZ425" s="61" t="s">
        <v>1026</v>
      </c>
      <c r="BA425" s="58" t="s">
        <v>1037</v>
      </c>
      <c r="BC425" s="33">
        <f>AW425+AX425</f>
        <v>0</v>
      </c>
      <c r="BD425" s="33">
        <f>L425/(100-BE425)*100</f>
        <v>0</v>
      </c>
      <c r="BE425" s="33">
        <v>0</v>
      </c>
      <c r="BF425" s="33">
        <f>425</f>
        <v>425</v>
      </c>
      <c r="BH425" s="54">
        <f>K425*AO425</f>
        <v>0</v>
      </c>
      <c r="BI425" s="54">
        <f>K425*AP425</f>
        <v>0</v>
      </c>
      <c r="BJ425" s="54">
        <f>K425*L425</f>
        <v>0</v>
      </c>
      <c r="BK425" s="54" t="s">
        <v>1047</v>
      </c>
      <c r="BL425" s="33">
        <v>97</v>
      </c>
    </row>
    <row r="426" spans="1:14" ht="12.75">
      <c r="A426" s="17"/>
      <c r="D426" s="143" t="s">
        <v>663</v>
      </c>
      <c r="E426" s="144"/>
      <c r="F426" s="144"/>
      <c r="G426" s="144"/>
      <c r="H426" s="144"/>
      <c r="I426" s="144"/>
      <c r="K426" s="75">
        <v>1</v>
      </c>
      <c r="M426" s="14"/>
      <c r="N426" s="17"/>
    </row>
    <row r="427" spans="1:64" ht="12.75">
      <c r="A427" s="39" t="s">
        <v>170</v>
      </c>
      <c r="B427" s="46" t="s">
        <v>61</v>
      </c>
      <c r="C427" s="46" t="s">
        <v>356</v>
      </c>
      <c r="D427" s="148" t="s">
        <v>772</v>
      </c>
      <c r="E427" s="149"/>
      <c r="F427" s="149"/>
      <c r="G427" s="149"/>
      <c r="H427" s="149"/>
      <c r="I427" s="149"/>
      <c r="J427" s="46" t="s">
        <v>971</v>
      </c>
      <c r="K427" s="78">
        <f>'Stavební rozpočet'!K427</f>
        <v>5</v>
      </c>
      <c r="L427" s="54">
        <f>'Stavební rozpočet'!L427</f>
        <v>0</v>
      </c>
      <c r="M427" s="66">
        <f>K427*L427</f>
        <v>0</v>
      </c>
      <c r="N427" s="17"/>
      <c r="Z427" s="33">
        <f>IF(AQ427="5",BJ427,0)</f>
        <v>0</v>
      </c>
      <c r="AB427" s="33">
        <f>IF(AQ427="1",BH427,0)</f>
        <v>0</v>
      </c>
      <c r="AC427" s="33">
        <f>IF(AQ427="1",BI427,0)</f>
        <v>0</v>
      </c>
      <c r="AD427" s="33">
        <f>IF(AQ427="7",BH427,0)</f>
        <v>0</v>
      </c>
      <c r="AE427" s="33">
        <f>IF(AQ427="7",BI427,0)</f>
        <v>0</v>
      </c>
      <c r="AF427" s="33">
        <f>IF(AQ427="2",BH427,0)</f>
        <v>0</v>
      </c>
      <c r="AG427" s="33">
        <f>IF(AQ427="2",BI427,0)</f>
        <v>0</v>
      </c>
      <c r="AH427" s="33">
        <f>IF(AQ427="0",BJ427,0)</f>
        <v>0</v>
      </c>
      <c r="AI427" s="58" t="s">
        <v>61</v>
      </c>
      <c r="AJ427" s="54">
        <f>IF(AN427=0,M427,0)</f>
        <v>0</v>
      </c>
      <c r="AK427" s="54">
        <f>IF(AN427=15,M427,0)</f>
        <v>0</v>
      </c>
      <c r="AL427" s="54">
        <f>IF(AN427=21,M427,0)</f>
        <v>0</v>
      </c>
      <c r="AN427" s="33">
        <v>21</v>
      </c>
      <c r="AO427" s="33">
        <f>L427*1</f>
        <v>0</v>
      </c>
      <c r="AP427" s="33">
        <f>L427*(1-1)</f>
        <v>0</v>
      </c>
      <c r="AQ427" s="60" t="s">
        <v>80</v>
      </c>
      <c r="AV427" s="33">
        <f>AW427+AX427</f>
        <v>0</v>
      </c>
      <c r="AW427" s="33">
        <f>K427*AO427</f>
        <v>0</v>
      </c>
      <c r="AX427" s="33">
        <f>K427*AP427</f>
        <v>0</v>
      </c>
      <c r="AY427" s="61" t="s">
        <v>1008</v>
      </c>
      <c r="AZ427" s="61" t="s">
        <v>1026</v>
      </c>
      <c r="BA427" s="58" t="s">
        <v>1037</v>
      </c>
      <c r="BC427" s="33">
        <f>AW427+AX427</f>
        <v>0</v>
      </c>
      <c r="BD427" s="33">
        <f>L427/(100-BE427)*100</f>
        <v>0</v>
      </c>
      <c r="BE427" s="33">
        <v>0</v>
      </c>
      <c r="BF427" s="33">
        <f>427</f>
        <v>427</v>
      </c>
      <c r="BH427" s="54">
        <f>K427*AO427</f>
        <v>0</v>
      </c>
      <c r="BI427" s="54">
        <f>K427*AP427</f>
        <v>0</v>
      </c>
      <c r="BJ427" s="54">
        <f>K427*L427</f>
        <v>0</v>
      </c>
      <c r="BK427" s="54" t="s">
        <v>1047</v>
      </c>
      <c r="BL427" s="33">
        <v>97</v>
      </c>
    </row>
    <row r="428" spans="1:14" ht="12.75">
      <c r="A428" s="17"/>
      <c r="D428" s="143" t="s">
        <v>655</v>
      </c>
      <c r="E428" s="144"/>
      <c r="F428" s="144"/>
      <c r="G428" s="144"/>
      <c r="H428" s="144"/>
      <c r="I428" s="144"/>
      <c r="K428" s="75">
        <v>5</v>
      </c>
      <c r="M428" s="14"/>
      <c r="N428" s="17"/>
    </row>
    <row r="429" spans="1:64" ht="12.75">
      <c r="A429" s="38" t="s">
        <v>171</v>
      </c>
      <c r="B429" s="45" t="s">
        <v>61</v>
      </c>
      <c r="C429" s="45" t="s">
        <v>357</v>
      </c>
      <c r="D429" s="141" t="s">
        <v>773</v>
      </c>
      <c r="E429" s="142"/>
      <c r="F429" s="142"/>
      <c r="G429" s="142"/>
      <c r="H429" s="142"/>
      <c r="I429" s="142"/>
      <c r="J429" s="45" t="s">
        <v>972</v>
      </c>
      <c r="K429" s="74">
        <f>'Stavební rozpočet'!K429</f>
        <v>12.8</v>
      </c>
      <c r="L429" s="53">
        <f>'Stavební rozpočet'!L429</f>
        <v>0</v>
      </c>
      <c r="M429" s="65">
        <f>K429*L429</f>
        <v>0</v>
      </c>
      <c r="N429" s="17"/>
      <c r="Z429" s="33">
        <f>IF(AQ429="5",BJ429,0)</f>
        <v>0</v>
      </c>
      <c r="AB429" s="33">
        <f>IF(AQ429="1",BH429,0)</f>
        <v>0</v>
      </c>
      <c r="AC429" s="33">
        <f>IF(AQ429="1",BI429,0)</f>
        <v>0</v>
      </c>
      <c r="AD429" s="33">
        <f>IF(AQ429="7",BH429,0)</f>
        <v>0</v>
      </c>
      <c r="AE429" s="33">
        <f>IF(AQ429="7",BI429,0)</f>
        <v>0</v>
      </c>
      <c r="AF429" s="33">
        <f>IF(AQ429="2",BH429,0)</f>
        <v>0</v>
      </c>
      <c r="AG429" s="33">
        <f>IF(AQ429="2",BI429,0)</f>
        <v>0</v>
      </c>
      <c r="AH429" s="33">
        <f>IF(AQ429="0",BJ429,0)</f>
        <v>0</v>
      </c>
      <c r="AI429" s="58" t="s">
        <v>61</v>
      </c>
      <c r="AJ429" s="53">
        <f>IF(AN429=0,M429,0)</f>
        <v>0</v>
      </c>
      <c r="AK429" s="53">
        <f>IF(AN429=15,M429,0)</f>
        <v>0</v>
      </c>
      <c r="AL429" s="53">
        <f>IF(AN429=21,M429,0)</f>
        <v>0</v>
      </c>
      <c r="AN429" s="33">
        <v>21</v>
      </c>
      <c r="AO429" s="33">
        <f>L429*0</f>
        <v>0</v>
      </c>
      <c r="AP429" s="33">
        <f>L429*(1-0)</f>
        <v>0</v>
      </c>
      <c r="AQ429" s="59" t="s">
        <v>80</v>
      </c>
      <c r="AV429" s="33">
        <f>AW429+AX429</f>
        <v>0</v>
      </c>
      <c r="AW429" s="33">
        <f>K429*AO429</f>
        <v>0</v>
      </c>
      <c r="AX429" s="33">
        <f>K429*AP429</f>
        <v>0</v>
      </c>
      <c r="AY429" s="61" t="s">
        <v>1008</v>
      </c>
      <c r="AZ429" s="61" t="s">
        <v>1026</v>
      </c>
      <c r="BA429" s="58" t="s">
        <v>1037</v>
      </c>
      <c r="BC429" s="33">
        <f>AW429+AX429</f>
        <v>0</v>
      </c>
      <c r="BD429" s="33">
        <f>L429/(100-BE429)*100</f>
        <v>0</v>
      </c>
      <c r="BE429" s="33">
        <v>0</v>
      </c>
      <c r="BF429" s="33">
        <f>429</f>
        <v>429</v>
      </c>
      <c r="BH429" s="53">
        <f>K429*AO429</f>
        <v>0</v>
      </c>
      <c r="BI429" s="53">
        <f>K429*AP429</f>
        <v>0</v>
      </c>
      <c r="BJ429" s="53">
        <f>K429*L429</f>
        <v>0</v>
      </c>
      <c r="BK429" s="53" t="s">
        <v>1046</v>
      </c>
      <c r="BL429" s="33">
        <v>97</v>
      </c>
    </row>
    <row r="430" spans="1:14" ht="12.75">
      <c r="A430" s="17"/>
      <c r="D430" s="143" t="s">
        <v>457</v>
      </c>
      <c r="E430" s="144"/>
      <c r="F430" s="144"/>
      <c r="G430" s="144"/>
      <c r="H430" s="144"/>
      <c r="I430" s="144"/>
      <c r="K430" s="75">
        <v>1.5</v>
      </c>
      <c r="M430" s="14"/>
      <c r="N430" s="17"/>
    </row>
    <row r="431" spans="1:14" ht="12.75">
      <c r="A431" s="17"/>
      <c r="D431" s="143" t="s">
        <v>458</v>
      </c>
      <c r="E431" s="144"/>
      <c r="F431" s="144"/>
      <c r="G431" s="144"/>
      <c r="H431" s="144"/>
      <c r="I431" s="144"/>
      <c r="K431" s="75">
        <v>1.3</v>
      </c>
      <c r="M431" s="14"/>
      <c r="N431" s="17"/>
    </row>
    <row r="432" spans="1:14" ht="12.75">
      <c r="A432" s="17"/>
      <c r="D432" s="143" t="s">
        <v>459</v>
      </c>
      <c r="E432" s="144"/>
      <c r="F432" s="144"/>
      <c r="G432" s="144"/>
      <c r="H432" s="144"/>
      <c r="I432" s="144"/>
      <c r="K432" s="75">
        <v>1.3</v>
      </c>
      <c r="M432" s="14"/>
      <c r="N432" s="17"/>
    </row>
    <row r="433" spans="1:14" ht="12.75">
      <c r="A433" s="17"/>
      <c r="D433" s="143" t="s">
        <v>460</v>
      </c>
      <c r="E433" s="144"/>
      <c r="F433" s="144"/>
      <c r="G433" s="144"/>
      <c r="H433" s="144"/>
      <c r="I433" s="144"/>
      <c r="K433" s="75">
        <v>3.6</v>
      </c>
      <c r="M433" s="14"/>
      <c r="N433" s="17"/>
    </row>
    <row r="434" spans="1:14" ht="12.75">
      <c r="A434" s="17"/>
      <c r="D434" s="143" t="s">
        <v>461</v>
      </c>
      <c r="E434" s="144"/>
      <c r="F434" s="144"/>
      <c r="G434" s="144"/>
      <c r="H434" s="144"/>
      <c r="I434" s="144"/>
      <c r="K434" s="75">
        <v>1.2</v>
      </c>
      <c r="M434" s="14"/>
      <c r="N434" s="17"/>
    </row>
    <row r="435" spans="1:14" ht="12.75">
      <c r="A435" s="17"/>
      <c r="D435" s="143" t="s">
        <v>462</v>
      </c>
      <c r="E435" s="144"/>
      <c r="F435" s="144"/>
      <c r="G435" s="144"/>
      <c r="H435" s="144"/>
      <c r="I435" s="144"/>
      <c r="K435" s="75">
        <v>1.5</v>
      </c>
      <c r="M435" s="14"/>
      <c r="N435" s="17"/>
    </row>
    <row r="436" spans="1:14" ht="12.75">
      <c r="A436" s="17"/>
      <c r="D436" s="143" t="s">
        <v>440</v>
      </c>
      <c r="E436" s="144"/>
      <c r="F436" s="144"/>
      <c r="G436" s="144"/>
      <c r="H436" s="144"/>
      <c r="I436" s="144"/>
      <c r="K436" s="75">
        <v>1.1</v>
      </c>
      <c r="M436" s="14"/>
      <c r="N436" s="17"/>
    </row>
    <row r="437" spans="1:14" ht="12.75">
      <c r="A437" s="17"/>
      <c r="D437" s="143" t="s">
        <v>441</v>
      </c>
      <c r="E437" s="144"/>
      <c r="F437" s="144"/>
      <c r="G437" s="144"/>
      <c r="H437" s="144"/>
      <c r="I437" s="144"/>
      <c r="K437" s="75">
        <v>1.3</v>
      </c>
      <c r="M437" s="14"/>
      <c r="N437" s="17"/>
    </row>
    <row r="438" spans="1:47" ht="12.75">
      <c r="A438" s="37"/>
      <c r="B438" s="44" t="s">
        <v>61</v>
      </c>
      <c r="C438" s="44" t="s">
        <v>358</v>
      </c>
      <c r="D438" s="139" t="s">
        <v>774</v>
      </c>
      <c r="E438" s="140"/>
      <c r="F438" s="140"/>
      <c r="G438" s="140"/>
      <c r="H438" s="140"/>
      <c r="I438" s="140"/>
      <c r="J438" s="50" t="s">
        <v>59</v>
      </c>
      <c r="K438" s="50" t="s">
        <v>59</v>
      </c>
      <c r="L438" s="50" t="s">
        <v>59</v>
      </c>
      <c r="M438" s="64">
        <f>SUM(M439:M448)</f>
        <v>0</v>
      </c>
      <c r="N438" s="17"/>
      <c r="AI438" s="58" t="s">
        <v>61</v>
      </c>
      <c r="AS438" s="68">
        <f>SUM(AJ439:AJ448)</f>
        <v>0</v>
      </c>
      <c r="AT438" s="68">
        <f>SUM(AK439:AK448)</f>
        <v>0</v>
      </c>
      <c r="AU438" s="68">
        <f>SUM(AL439:AL448)</f>
        <v>0</v>
      </c>
    </row>
    <row r="439" spans="1:64" ht="12.75">
      <c r="A439" s="38" t="s">
        <v>172</v>
      </c>
      <c r="B439" s="45" t="s">
        <v>61</v>
      </c>
      <c r="C439" s="45" t="s">
        <v>359</v>
      </c>
      <c r="D439" s="141" t="s">
        <v>775</v>
      </c>
      <c r="E439" s="142"/>
      <c r="F439" s="142"/>
      <c r="G439" s="142"/>
      <c r="H439" s="142"/>
      <c r="I439" s="142"/>
      <c r="J439" s="45" t="s">
        <v>975</v>
      </c>
      <c r="K439" s="74">
        <f>'Stavební rozpočet'!K439</f>
        <v>12</v>
      </c>
      <c r="L439" s="53">
        <f>'Stavební rozpočet'!L439</f>
        <v>0</v>
      </c>
      <c r="M439" s="65">
        <f>K439*L439</f>
        <v>0</v>
      </c>
      <c r="N439" s="17"/>
      <c r="Z439" s="33">
        <f>IF(AQ439="5",BJ439,0)</f>
        <v>0</v>
      </c>
      <c r="AB439" s="33">
        <f>IF(AQ439="1",BH439,0)</f>
        <v>0</v>
      </c>
      <c r="AC439" s="33">
        <f>IF(AQ439="1",BI439,0)</f>
        <v>0</v>
      </c>
      <c r="AD439" s="33">
        <f>IF(AQ439="7",BH439,0)</f>
        <v>0</v>
      </c>
      <c r="AE439" s="33">
        <f>IF(AQ439="7",BI439,0)</f>
        <v>0</v>
      </c>
      <c r="AF439" s="33">
        <f>IF(AQ439="2",BH439,0)</f>
        <v>0</v>
      </c>
      <c r="AG439" s="33">
        <f>IF(AQ439="2",BI439,0)</f>
        <v>0</v>
      </c>
      <c r="AH439" s="33">
        <f>IF(AQ439="0",BJ439,0)</f>
        <v>0</v>
      </c>
      <c r="AI439" s="58" t="s">
        <v>61</v>
      </c>
      <c r="AJ439" s="53">
        <f>IF(AN439=0,M439,0)</f>
        <v>0</v>
      </c>
      <c r="AK439" s="53">
        <f>IF(AN439=15,M439,0)</f>
        <v>0</v>
      </c>
      <c r="AL439" s="53">
        <f>IF(AN439=21,M439,0)</f>
        <v>0</v>
      </c>
      <c r="AN439" s="33">
        <v>21</v>
      </c>
      <c r="AO439" s="33">
        <f>L439*0</f>
        <v>0</v>
      </c>
      <c r="AP439" s="33">
        <f>L439*(1-0)</f>
        <v>0</v>
      </c>
      <c r="AQ439" s="59" t="s">
        <v>81</v>
      </c>
      <c r="AV439" s="33">
        <f>AW439+AX439</f>
        <v>0</v>
      </c>
      <c r="AW439" s="33">
        <f>K439*AO439</f>
        <v>0</v>
      </c>
      <c r="AX439" s="33">
        <f>K439*AP439</f>
        <v>0</v>
      </c>
      <c r="AY439" s="61" t="s">
        <v>1009</v>
      </c>
      <c r="AZ439" s="61" t="s">
        <v>1026</v>
      </c>
      <c r="BA439" s="58" t="s">
        <v>1037</v>
      </c>
      <c r="BC439" s="33">
        <f>AW439+AX439</f>
        <v>0</v>
      </c>
      <c r="BD439" s="33">
        <f>L439/(100-BE439)*100</f>
        <v>0</v>
      </c>
      <c r="BE439" s="33">
        <v>0</v>
      </c>
      <c r="BF439" s="33">
        <f>439</f>
        <v>439</v>
      </c>
      <c r="BH439" s="53">
        <f>K439*AO439</f>
        <v>0</v>
      </c>
      <c r="BI439" s="53">
        <f>K439*AP439</f>
        <v>0</v>
      </c>
      <c r="BJ439" s="53">
        <f>K439*L439</f>
        <v>0</v>
      </c>
      <c r="BK439" s="53" t="s">
        <v>1046</v>
      </c>
      <c r="BL439" s="33" t="s">
        <v>358</v>
      </c>
    </row>
    <row r="440" spans="1:14" ht="12.75">
      <c r="A440" s="17"/>
      <c r="D440" s="143" t="s">
        <v>776</v>
      </c>
      <c r="E440" s="144"/>
      <c r="F440" s="144"/>
      <c r="G440" s="144"/>
      <c r="H440" s="144"/>
      <c r="I440" s="144"/>
      <c r="K440" s="75">
        <v>2</v>
      </c>
      <c r="M440" s="14"/>
      <c r="N440" s="17"/>
    </row>
    <row r="441" spans="1:14" ht="12.75">
      <c r="A441" s="17"/>
      <c r="D441" s="143" t="s">
        <v>777</v>
      </c>
      <c r="E441" s="144"/>
      <c r="F441" s="144"/>
      <c r="G441" s="144"/>
      <c r="H441" s="144"/>
      <c r="I441" s="144"/>
      <c r="K441" s="75">
        <v>2</v>
      </c>
      <c r="M441" s="14"/>
      <c r="N441" s="17"/>
    </row>
    <row r="442" spans="1:14" ht="12.75">
      <c r="A442" s="17"/>
      <c r="D442" s="143" t="s">
        <v>778</v>
      </c>
      <c r="E442" s="144"/>
      <c r="F442" s="144"/>
      <c r="G442" s="144"/>
      <c r="H442" s="144"/>
      <c r="I442" s="144"/>
      <c r="K442" s="75">
        <v>2</v>
      </c>
      <c r="M442" s="14"/>
      <c r="N442" s="17"/>
    </row>
    <row r="443" spans="1:14" ht="12.75">
      <c r="A443" s="17"/>
      <c r="D443" s="143" t="s">
        <v>779</v>
      </c>
      <c r="E443" s="144"/>
      <c r="F443" s="144"/>
      <c r="G443" s="144"/>
      <c r="H443" s="144"/>
      <c r="I443" s="144"/>
      <c r="K443" s="75">
        <v>2</v>
      </c>
      <c r="M443" s="14"/>
      <c r="N443" s="17"/>
    </row>
    <row r="444" spans="1:14" ht="12.75">
      <c r="A444" s="17"/>
      <c r="D444" s="143" t="s">
        <v>780</v>
      </c>
      <c r="E444" s="144"/>
      <c r="F444" s="144"/>
      <c r="G444" s="144"/>
      <c r="H444" s="144"/>
      <c r="I444" s="144"/>
      <c r="K444" s="75">
        <v>2</v>
      </c>
      <c r="M444" s="14"/>
      <c r="N444" s="17"/>
    </row>
    <row r="445" spans="1:14" ht="12.75">
      <c r="A445" s="17"/>
      <c r="D445" s="143" t="s">
        <v>781</v>
      </c>
      <c r="E445" s="144"/>
      <c r="F445" s="144"/>
      <c r="G445" s="144"/>
      <c r="H445" s="144"/>
      <c r="I445" s="144"/>
      <c r="K445" s="75">
        <v>2</v>
      </c>
      <c r="M445" s="14"/>
      <c r="N445" s="17"/>
    </row>
    <row r="446" spans="1:64" ht="12.75">
      <c r="A446" s="39" t="s">
        <v>173</v>
      </c>
      <c r="B446" s="46" t="s">
        <v>61</v>
      </c>
      <c r="C446" s="46" t="s">
        <v>360</v>
      </c>
      <c r="D446" s="148" t="s">
        <v>782</v>
      </c>
      <c r="E446" s="149"/>
      <c r="F446" s="149"/>
      <c r="G446" s="149"/>
      <c r="H446" s="149"/>
      <c r="I446" s="149"/>
      <c r="J446" s="46" t="s">
        <v>975</v>
      </c>
      <c r="K446" s="78">
        <f>'Stavební rozpočet'!K446</f>
        <v>2</v>
      </c>
      <c r="L446" s="54">
        <f>'Stavební rozpočet'!L446</f>
        <v>0</v>
      </c>
      <c r="M446" s="66">
        <f>K446*L446</f>
        <v>0</v>
      </c>
      <c r="N446" s="17"/>
      <c r="Z446" s="33">
        <f>IF(AQ446="5",BJ446,0)</f>
        <v>0</v>
      </c>
      <c r="AB446" s="33">
        <f>IF(AQ446="1",BH446,0)</f>
        <v>0</v>
      </c>
      <c r="AC446" s="33">
        <f>IF(AQ446="1",BI446,0)</f>
        <v>0</v>
      </c>
      <c r="AD446" s="33">
        <f>IF(AQ446="7",BH446,0)</f>
        <v>0</v>
      </c>
      <c r="AE446" s="33">
        <f>IF(AQ446="7",BI446,0)</f>
        <v>0</v>
      </c>
      <c r="AF446" s="33">
        <f>IF(AQ446="2",BH446,0)</f>
        <v>0</v>
      </c>
      <c r="AG446" s="33">
        <f>IF(AQ446="2",BI446,0)</f>
        <v>0</v>
      </c>
      <c r="AH446" s="33">
        <f>IF(AQ446="0",BJ446,0)</f>
        <v>0</v>
      </c>
      <c r="AI446" s="58" t="s">
        <v>61</v>
      </c>
      <c r="AJ446" s="54">
        <f>IF(AN446=0,M446,0)</f>
        <v>0</v>
      </c>
      <c r="AK446" s="54">
        <f>IF(AN446=15,M446,0)</f>
        <v>0</v>
      </c>
      <c r="AL446" s="54">
        <f>IF(AN446=21,M446,0)</f>
        <v>0</v>
      </c>
      <c r="AN446" s="33">
        <v>21</v>
      </c>
      <c r="AO446" s="33">
        <f>L446*1</f>
        <v>0</v>
      </c>
      <c r="AP446" s="33">
        <f>L446*(1-1)</f>
        <v>0</v>
      </c>
      <c r="AQ446" s="60" t="s">
        <v>80</v>
      </c>
      <c r="AV446" s="33">
        <f>AW446+AX446</f>
        <v>0</v>
      </c>
      <c r="AW446" s="33">
        <f>K446*AO446</f>
        <v>0</v>
      </c>
      <c r="AX446" s="33">
        <f>K446*AP446</f>
        <v>0</v>
      </c>
      <c r="AY446" s="61" t="s">
        <v>1009</v>
      </c>
      <c r="AZ446" s="61" t="s">
        <v>1026</v>
      </c>
      <c r="BA446" s="58" t="s">
        <v>1037</v>
      </c>
      <c r="BC446" s="33">
        <f>AW446+AX446</f>
        <v>0</v>
      </c>
      <c r="BD446" s="33">
        <f>L446/(100-BE446)*100</f>
        <v>0</v>
      </c>
      <c r="BE446" s="33">
        <v>0</v>
      </c>
      <c r="BF446" s="33">
        <f>446</f>
        <v>446</v>
      </c>
      <c r="BH446" s="54">
        <f>K446*AO446</f>
        <v>0</v>
      </c>
      <c r="BI446" s="54">
        <f>K446*AP446</f>
        <v>0</v>
      </c>
      <c r="BJ446" s="54">
        <f>K446*L446</f>
        <v>0</v>
      </c>
      <c r="BK446" s="54" t="s">
        <v>1047</v>
      </c>
      <c r="BL446" s="33" t="s">
        <v>358</v>
      </c>
    </row>
    <row r="447" spans="1:14" ht="12.75">
      <c r="A447" s="17"/>
      <c r="D447" s="143" t="s">
        <v>783</v>
      </c>
      <c r="E447" s="144"/>
      <c r="F447" s="144"/>
      <c r="G447" s="144"/>
      <c r="H447" s="144"/>
      <c r="I447" s="144"/>
      <c r="K447" s="75">
        <v>2</v>
      </c>
      <c r="M447" s="14"/>
      <c r="N447" s="17"/>
    </row>
    <row r="448" spans="1:64" ht="12.75">
      <c r="A448" s="39" t="s">
        <v>174</v>
      </c>
      <c r="B448" s="46" t="s">
        <v>61</v>
      </c>
      <c r="C448" s="46" t="s">
        <v>361</v>
      </c>
      <c r="D448" s="148" t="s">
        <v>784</v>
      </c>
      <c r="E448" s="149"/>
      <c r="F448" s="149"/>
      <c r="G448" s="149"/>
      <c r="H448" s="149"/>
      <c r="I448" s="149"/>
      <c r="J448" s="46" t="s">
        <v>975</v>
      </c>
      <c r="K448" s="78">
        <f>'Stavební rozpočet'!K448</f>
        <v>10</v>
      </c>
      <c r="L448" s="54">
        <f>'Stavební rozpočet'!L448</f>
        <v>0</v>
      </c>
      <c r="M448" s="66">
        <f>K448*L448</f>
        <v>0</v>
      </c>
      <c r="N448" s="17"/>
      <c r="Z448" s="33">
        <f>IF(AQ448="5",BJ448,0)</f>
        <v>0</v>
      </c>
      <c r="AB448" s="33">
        <f>IF(AQ448="1",BH448,0)</f>
        <v>0</v>
      </c>
      <c r="AC448" s="33">
        <f>IF(AQ448="1",BI448,0)</f>
        <v>0</v>
      </c>
      <c r="AD448" s="33">
        <f>IF(AQ448="7",BH448,0)</f>
        <v>0</v>
      </c>
      <c r="AE448" s="33">
        <f>IF(AQ448="7",BI448,0)</f>
        <v>0</v>
      </c>
      <c r="AF448" s="33">
        <f>IF(AQ448="2",BH448,0)</f>
        <v>0</v>
      </c>
      <c r="AG448" s="33">
        <f>IF(AQ448="2",BI448,0)</f>
        <v>0</v>
      </c>
      <c r="AH448" s="33">
        <f>IF(AQ448="0",BJ448,0)</f>
        <v>0</v>
      </c>
      <c r="AI448" s="58" t="s">
        <v>61</v>
      </c>
      <c r="AJ448" s="54">
        <f>IF(AN448=0,M448,0)</f>
        <v>0</v>
      </c>
      <c r="AK448" s="54">
        <f>IF(AN448=15,M448,0)</f>
        <v>0</v>
      </c>
      <c r="AL448" s="54">
        <f>IF(AN448=21,M448,0)</f>
        <v>0</v>
      </c>
      <c r="AN448" s="33">
        <v>21</v>
      </c>
      <c r="AO448" s="33">
        <f>L448*1</f>
        <v>0</v>
      </c>
      <c r="AP448" s="33">
        <f>L448*(1-1)</f>
        <v>0</v>
      </c>
      <c r="AQ448" s="60" t="s">
        <v>80</v>
      </c>
      <c r="AV448" s="33">
        <f>AW448+AX448</f>
        <v>0</v>
      </c>
      <c r="AW448" s="33">
        <f>K448*AO448</f>
        <v>0</v>
      </c>
      <c r="AX448" s="33">
        <f>K448*AP448</f>
        <v>0</v>
      </c>
      <c r="AY448" s="61" t="s">
        <v>1009</v>
      </c>
      <c r="AZ448" s="61" t="s">
        <v>1026</v>
      </c>
      <c r="BA448" s="58" t="s">
        <v>1037</v>
      </c>
      <c r="BC448" s="33">
        <f>AW448+AX448</f>
        <v>0</v>
      </c>
      <c r="BD448" s="33">
        <f>L448/(100-BE448)*100</f>
        <v>0</v>
      </c>
      <c r="BE448" s="33">
        <v>0</v>
      </c>
      <c r="BF448" s="33">
        <f>448</f>
        <v>448</v>
      </c>
      <c r="BH448" s="54">
        <f>K448*AO448</f>
        <v>0</v>
      </c>
      <c r="BI448" s="54">
        <f>K448*AP448</f>
        <v>0</v>
      </c>
      <c r="BJ448" s="54">
        <f>K448*L448</f>
        <v>0</v>
      </c>
      <c r="BK448" s="54" t="s">
        <v>1047</v>
      </c>
      <c r="BL448" s="33" t="s">
        <v>358</v>
      </c>
    </row>
    <row r="449" spans="1:14" ht="12.75">
      <c r="A449" s="17"/>
      <c r="D449" s="143" t="s">
        <v>785</v>
      </c>
      <c r="E449" s="144"/>
      <c r="F449" s="144"/>
      <c r="G449" s="144"/>
      <c r="H449" s="144"/>
      <c r="I449" s="144"/>
      <c r="K449" s="75">
        <v>10</v>
      </c>
      <c r="M449" s="14"/>
      <c r="N449" s="17"/>
    </row>
    <row r="450" spans="1:47" ht="12.75">
      <c r="A450" s="37"/>
      <c r="B450" s="44" t="s">
        <v>61</v>
      </c>
      <c r="C450" s="44" t="s">
        <v>362</v>
      </c>
      <c r="D450" s="139" t="s">
        <v>786</v>
      </c>
      <c r="E450" s="140"/>
      <c r="F450" s="140"/>
      <c r="G450" s="140"/>
      <c r="H450" s="140"/>
      <c r="I450" s="140"/>
      <c r="J450" s="50" t="s">
        <v>59</v>
      </c>
      <c r="K450" s="50" t="s">
        <v>59</v>
      </c>
      <c r="L450" s="50" t="s">
        <v>59</v>
      </c>
      <c r="M450" s="64">
        <f>SUM(M451:M451)</f>
        <v>0</v>
      </c>
      <c r="N450" s="17"/>
      <c r="AI450" s="58" t="s">
        <v>61</v>
      </c>
      <c r="AS450" s="68">
        <f>SUM(AJ451:AJ451)</f>
        <v>0</v>
      </c>
      <c r="AT450" s="68">
        <f>SUM(AK451:AK451)</f>
        <v>0</v>
      </c>
      <c r="AU450" s="68">
        <f>SUM(AL451:AL451)</f>
        <v>0</v>
      </c>
    </row>
    <row r="451" spans="1:64" ht="12.75">
      <c r="A451" s="38" t="s">
        <v>175</v>
      </c>
      <c r="B451" s="45" t="s">
        <v>61</v>
      </c>
      <c r="C451" s="45" t="s">
        <v>363</v>
      </c>
      <c r="D451" s="141" t="s">
        <v>787</v>
      </c>
      <c r="E451" s="142"/>
      <c r="F451" s="142"/>
      <c r="G451" s="142"/>
      <c r="H451" s="142"/>
      <c r="I451" s="142"/>
      <c r="J451" s="45" t="s">
        <v>968</v>
      </c>
      <c r="K451" s="74">
        <f>'Stavební rozpočet'!K451</f>
        <v>10</v>
      </c>
      <c r="L451" s="53">
        <f>'Stavební rozpočet'!L451</f>
        <v>0</v>
      </c>
      <c r="M451" s="65">
        <f>K451*L451</f>
        <v>0</v>
      </c>
      <c r="N451" s="17"/>
      <c r="Z451" s="33">
        <f>IF(AQ451="5",BJ451,0)</f>
        <v>0</v>
      </c>
      <c r="AB451" s="33">
        <f>IF(AQ451="1",BH451,0)</f>
        <v>0</v>
      </c>
      <c r="AC451" s="33">
        <f>IF(AQ451="1",BI451,0)</f>
        <v>0</v>
      </c>
      <c r="AD451" s="33">
        <f>IF(AQ451="7",BH451,0)</f>
        <v>0</v>
      </c>
      <c r="AE451" s="33">
        <f>IF(AQ451="7",BI451,0)</f>
        <v>0</v>
      </c>
      <c r="AF451" s="33">
        <f>IF(AQ451="2",BH451,0)</f>
        <v>0</v>
      </c>
      <c r="AG451" s="33">
        <f>IF(AQ451="2",BI451,0)</f>
        <v>0</v>
      </c>
      <c r="AH451" s="33">
        <f>IF(AQ451="0",BJ451,0)</f>
        <v>0</v>
      </c>
      <c r="AI451" s="58" t="s">
        <v>61</v>
      </c>
      <c r="AJ451" s="53">
        <f>IF(AN451=0,M451,0)</f>
        <v>0</v>
      </c>
      <c r="AK451" s="53">
        <f>IF(AN451=15,M451,0)</f>
        <v>0</v>
      </c>
      <c r="AL451" s="53">
        <f>IF(AN451=21,M451,0)</f>
        <v>0</v>
      </c>
      <c r="AN451" s="33">
        <v>21</v>
      </c>
      <c r="AO451" s="33">
        <f>L451*0.948582183186951</f>
        <v>0</v>
      </c>
      <c r="AP451" s="33">
        <f>L451*(1-0.948582183186951)</f>
        <v>0</v>
      </c>
      <c r="AQ451" s="59" t="s">
        <v>81</v>
      </c>
      <c r="AV451" s="33">
        <f>AW451+AX451</f>
        <v>0</v>
      </c>
      <c r="AW451" s="33">
        <f>K451*AO451</f>
        <v>0</v>
      </c>
      <c r="AX451" s="33">
        <f>K451*AP451</f>
        <v>0</v>
      </c>
      <c r="AY451" s="61" t="s">
        <v>1010</v>
      </c>
      <c r="AZ451" s="61" t="s">
        <v>1026</v>
      </c>
      <c r="BA451" s="58" t="s">
        <v>1037</v>
      </c>
      <c r="BC451" s="33">
        <f>AW451+AX451</f>
        <v>0</v>
      </c>
      <c r="BD451" s="33">
        <f>L451/(100-BE451)*100</f>
        <v>0</v>
      </c>
      <c r="BE451" s="33">
        <v>0</v>
      </c>
      <c r="BF451" s="33">
        <f>451</f>
        <v>451</v>
      </c>
      <c r="BH451" s="53">
        <f>K451*AO451</f>
        <v>0</v>
      </c>
      <c r="BI451" s="53">
        <f>K451*AP451</f>
        <v>0</v>
      </c>
      <c r="BJ451" s="53">
        <f>K451*L451</f>
        <v>0</v>
      </c>
      <c r="BK451" s="53" t="s">
        <v>1046</v>
      </c>
      <c r="BL451" s="33" t="s">
        <v>362</v>
      </c>
    </row>
    <row r="452" spans="1:14" ht="12.75">
      <c r="A452" s="17"/>
      <c r="D452" s="143" t="s">
        <v>788</v>
      </c>
      <c r="E452" s="144"/>
      <c r="F452" s="144"/>
      <c r="G452" s="144"/>
      <c r="H452" s="144"/>
      <c r="I452" s="144"/>
      <c r="K452" s="75">
        <v>10</v>
      </c>
      <c r="M452" s="14"/>
      <c r="N452" s="17"/>
    </row>
    <row r="453" spans="1:47" ht="12.75">
      <c r="A453" s="37"/>
      <c r="B453" s="44" t="s">
        <v>61</v>
      </c>
      <c r="C453" s="44" t="s">
        <v>364</v>
      </c>
      <c r="D453" s="139" t="s">
        <v>789</v>
      </c>
      <c r="E453" s="140"/>
      <c r="F453" s="140"/>
      <c r="G453" s="140"/>
      <c r="H453" s="140"/>
      <c r="I453" s="140"/>
      <c r="J453" s="50" t="s">
        <v>59</v>
      </c>
      <c r="K453" s="50" t="s">
        <v>59</v>
      </c>
      <c r="L453" s="50" t="s">
        <v>59</v>
      </c>
      <c r="M453" s="64">
        <f>SUM(M454:M465)</f>
        <v>0</v>
      </c>
      <c r="N453" s="17"/>
      <c r="AI453" s="58" t="s">
        <v>61</v>
      </c>
      <c r="AS453" s="68">
        <f>SUM(AJ454:AJ465)</f>
        <v>0</v>
      </c>
      <c r="AT453" s="68">
        <f>SUM(AK454:AK465)</f>
        <v>0</v>
      </c>
      <c r="AU453" s="68">
        <f>SUM(AL454:AL465)</f>
        <v>0</v>
      </c>
    </row>
    <row r="454" spans="1:64" ht="12.75">
      <c r="A454" s="38" t="s">
        <v>176</v>
      </c>
      <c r="B454" s="45" t="s">
        <v>61</v>
      </c>
      <c r="C454" s="45" t="s">
        <v>365</v>
      </c>
      <c r="D454" s="141" t="s">
        <v>790</v>
      </c>
      <c r="E454" s="142"/>
      <c r="F454" s="142"/>
      <c r="G454" s="142"/>
      <c r="H454" s="142"/>
      <c r="I454" s="142"/>
      <c r="J454" s="45" t="s">
        <v>974</v>
      </c>
      <c r="K454" s="74">
        <f>'Stavební rozpočet'!K454</f>
        <v>9.983</v>
      </c>
      <c r="L454" s="53">
        <f>'Stavební rozpočet'!L454</f>
        <v>0</v>
      </c>
      <c r="M454" s="65">
        <f>K454*L454</f>
        <v>0</v>
      </c>
      <c r="N454" s="17"/>
      <c r="Z454" s="33">
        <f>IF(AQ454="5",BJ454,0)</f>
        <v>0</v>
      </c>
      <c r="AB454" s="33">
        <f>IF(AQ454="1",BH454,0)</f>
        <v>0</v>
      </c>
      <c r="AC454" s="33">
        <f>IF(AQ454="1",BI454,0)</f>
        <v>0</v>
      </c>
      <c r="AD454" s="33">
        <f>IF(AQ454="7",BH454,0)</f>
        <v>0</v>
      </c>
      <c r="AE454" s="33">
        <f>IF(AQ454="7",BI454,0)</f>
        <v>0</v>
      </c>
      <c r="AF454" s="33">
        <f>IF(AQ454="2",BH454,0)</f>
        <v>0</v>
      </c>
      <c r="AG454" s="33">
        <f>IF(AQ454="2",BI454,0)</f>
        <v>0</v>
      </c>
      <c r="AH454" s="33">
        <f>IF(AQ454="0",BJ454,0)</f>
        <v>0</v>
      </c>
      <c r="AI454" s="58" t="s">
        <v>61</v>
      </c>
      <c r="AJ454" s="53">
        <f>IF(AN454=0,M454,0)</f>
        <v>0</v>
      </c>
      <c r="AK454" s="53">
        <f>IF(AN454=15,M454,0)</f>
        <v>0</v>
      </c>
      <c r="AL454" s="53">
        <f>IF(AN454=21,M454,0)</f>
        <v>0</v>
      </c>
      <c r="AN454" s="33">
        <v>21</v>
      </c>
      <c r="AO454" s="33">
        <f>L454*0.0100451411131927</f>
        <v>0</v>
      </c>
      <c r="AP454" s="33">
        <f>L454*(1-0.0100451411131927)</f>
        <v>0</v>
      </c>
      <c r="AQ454" s="59" t="s">
        <v>84</v>
      </c>
      <c r="AV454" s="33">
        <f>AW454+AX454</f>
        <v>0</v>
      </c>
      <c r="AW454" s="33">
        <f>K454*AO454</f>
        <v>0</v>
      </c>
      <c r="AX454" s="33">
        <f>K454*AP454</f>
        <v>0</v>
      </c>
      <c r="AY454" s="61" t="s">
        <v>1011</v>
      </c>
      <c r="AZ454" s="61" t="s">
        <v>1026</v>
      </c>
      <c r="BA454" s="58" t="s">
        <v>1037</v>
      </c>
      <c r="BC454" s="33">
        <f>AW454+AX454</f>
        <v>0</v>
      </c>
      <c r="BD454" s="33">
        <f>L454/(100-BE454)*100</f>
        <v>0</v>
      </c>
      <c r="BE454" s="33">
        <v>0</v>
      </c>
      <c r="BF454" s="33">
        <f>454</f>
        <v>454</v>
      </c>
      <c r="BH454" s="53">
        <f>K454*AO454</f>
        <v>0</v>
      </c>
      <c r="BI454" s="53">
        <f>K454*AP454</f>
        <v>0</v>
      </c>
      <c r="BJ454" s="53">
        <f>K454*L454</f>
        <v>0</v>
      </c>
      <c r="BK454" s="53" t="s">
        <v>1046</v>
      </c>
      <c r="BL454" s="33" t="s">
        <v>364</v>
      </c>
    </row>
    <row r="455" spans="1:14" ht="12.75">
      <c r="A455" s="17"/>
      <c r="D455" s="143" t="s">
        <v>791</v>
      </c>
      <c r="E455" s="144"/>
      <c r="F455" s="144"/>
      <c r="G455" s="144"/>
      <c r="H455" s="144"/>
      <c r="I455" s="144"/>
      <c r="K455" s="75">
        <v>9.983</v>
      </c>
      <c r="M455" s="14"/>
      <c r="N455" s="17"/>
    </row>
    <row r="456" spans="1:64" ht="12.75">
      <c r="A456" s="38" t="s">
        <v>177</v>
      </c>
      <c r="B456" s="45" t="s">
        <v>61</v>
      </c>
      <c r="C456" s="45" t="s">
        <v>366</v>
      </c>
      <c r="D456" s="141" t="s">
        <v>792</v>
      </c>
      <c r="E456" s="142"/>
      <c r="F456" s="142"/>
      <c r="G456" s="142"/>
      <c r="H456" s="142"/>
      <c r="I456" s="142"/>
      <c r="J456" s="45" t="s">
        <v>974</v>
      </c>
      <c r="K456" s="74">
        <f>'Stavební rozpočet'!K456</f>
        <v>79.864</v>
      </c>
      <c r="L456" s="53">
        <f>'Stavební rozpočet'!L456</f>
        <v>0</v>
      </c>
      <c r="M456" s="65">
        <f>K456*L456</f>
        <v>0</v>
      </c>
      <c r="N456" s="17"/>
      <c r="Z456" s="33">
        <f>IF(AQ456="5",BJ456,0)</f>
        <v>0</v>
      </c>
      <c r="AB456" s="33">
        <f>IF(AQ456="1",BH456,0)</f>
        <v>0</v>
      </c>
      <c r="AC456" s="33">
        <f>IF(AQ456="1",BI456,0)</f>
        <v>0</v>
      </c>
      <c r="AD456" s="33">
        <f>IF(AQ456="7",BH456,0)</f>
        <v>0</v>
      </c>
      <c r="AE456" s="33">
        <f>IF(AQ456="7",BI456,0)</f>
        <v>0</v>
      </c>
      <c r="AF456" s="33">
        <f>IF(AQ456="2",BH456,0)</f>
        <v>0</v>
      </c>
      <c r="AG456" s="33">
        <f>IF(AQ456="2",BI456,0)</f>
        <v>0</v>
      </c>
      <c r="AH456" s="33">
        <f>IF(AQ456="0",BJ456,0)</f>
        <v>0</v>
      </c>
      <c r="AI456" s="58" t="s">
        <v>61</v>
      </c>
      <c r="AJ456" s="53">
        <f>IF(AN456=0,M456,0)</f>
        <v>0</v>
      </c>
      <c r="AK456" s="53">
        <f>IF(AN456=15,M456,0)</f>
        <v>0</v>
      </c>
      <c r="AL456" s="53">
        <f>IF(AN456=21,M456,0)</f>
        <v>0</v>
      </c>
      <c r="AN456" s="33">
        <v>21</v>
      </c>
      <c r="AO456" s="33">
        <f>L456*0</f>
        <v>0</v>
      </c>
      <c r="AP456" s="33">
        <f>L456*(1-0)</f>
        <v>0</v>
      </c>
      <c r="AQ456" s="59" t="s">
        <v>84</v>
      </c>
      <c r="AV456" s="33">
        <f>AW456+AX456</f>
        <v>0</v>
      </c>
      <c r="AW456" s="33">
        <f>K456*AO456</f>
        <v>0</v>
      </c>
      <c r="AX456" s="33">
        <f>K456*AP456</f>
        <v>0</v>
      </c>
      <c r="AY456" s="61" t="s">
        <v>1011</v>
      </c>
      <c r="AZ456" s="61" t="s">
        <v>1026</v>
      </c>
      <c r="BA456" s="58" t="s">
        <v>1037</v>
      </c>
      <c r="BC456" s="33">
        <f>AW456+AX456</f>
        <v>0</v>
      </c>
      <c r="BD456" s="33">
        <f>L456/(100-BE456)*100</f>
        <v>0</v>
      </c>
      <c r="BE456" s="33">
        <v>0</v>
      </c>
      <c r="BF456" s="33">
        <f>456</f>
        <v>456</v>
      </c>
      <c r="BH456" s="53">
        <f>K456*AO456</f>
        <v>0</v>
      </c>
      <c r="BI456" s="53">
        <f>K456*AP456</f>
        <v>0</v>
      </c>
      <c r="BJ456" s="53">
        <f>K456*L456</f>
        <v>0</v>
      </c>
      <c r="BK456" s="53" t="s">
        <v>1046</v>
      </c>
      <c r="BL456" s="33" t="s">
        <v>364</v>
      </c>
    </row>
    <row r="457" spans="1:14" ht="12.75">
      <c r="A457" s="17"/>
      <c r="D457" s="143" t="s">
        <v>793</v>
      </c>
      <c r="E457" s="144"/>
      <c r="F457" s="144"/>
      <c r="G457" s="144"/>
      <c r="H457" s="144"/>
      <c r="I457" s="144"/>
      <c r="K457" s="75">
        <v>79.864</v>
      </c>
      <c r="M457" s="14"/>
      <c r="N457" s="17"/>
    </row>
    <row r="458" spans="1:64" ht="12.75">
      <c r="A458" s="38" t="s">
        <v>178</v>
      </c>
      <c r="B458" s="45" t="s">
        <v>61</v>
      </c>
      <c r="C458" s="45" t="s">
        <v>367</v>
      </c>
      <c r="D458" s="141" t="s">
        <v>794</v>
      </c>
      <c r="E458" s="142"/>
      <c r="F458" s="142"/>
      <c r="G458" s="142"/>
      <c r="H458" s="142"/>
      <c r="I458" s="142"/>
      <c r="J458" s="45" t="s">
        <v>974</v>
      </c>
      <c r="K458" s="74">
        <f>'Stavební rozpočet'!K458</f>
        <v>9.983</v>
      </c>
      <c r="L458" s="53">
        <f>'Stavební rozpočet'!L458</f>
        <v>0</v>
      </c>
      <c r="M458" s="65">
        <f>K458*L458</f>
        <v>0</v>
      </c>
      <c r="N458" s="17"/>
      <c r="Z458" s="33">
        <f>IF(AQ458="5",BJ458,0)</f>
        <v>0</v>
      </c>
      <c r="AB458" s="33">
        <f>IF(AQ458="1",BH458,0)</f>
        <v>0</v>
      </c>
      <c r="AC458" s="33">
        <f>IF(AQ458="1",BI458,0)</f>
        <v>0</v>
      </c>
      <c r="AD458" s="33">
        <f>IF(AQ458="7",BH458,0)</f>
        <v>0</v>
      </c>
      <c r="AE458" s="33">
        <f>IF(AQ458="7",BI458,0)</f>
        <v>0</v>
      </c>
      <c r="AF458" s="33">
        <f>IF(AQ458="2",BH458,0)</f>
        <v>0</v>
      </c>
      <c r="AG458" s="33">
        <f>IF(AQ458="2",BI458,0)</f>
        <v>0</v>
      </c>
      <c r="AH458" s="33">
        <f>IF(AQ458="0",BJ458,0)</f>
        <v>0</v>
      </c>
      <c r="AI458" s="58" t="s">
        <v>61</v>
      </c>
      <c r="AJ458" s="53">
        <f>IF(AN458=0,M458,0)</f>
        <v>0</v>
      </c>
      <c r="AK458" s="53">
        <f>IF(AN458=15,M458,0)</f>
        <v>0</v>
      </c>
      <c r="AL458" s="53">
        <f>IF(AN458=21,M458,0)</f>
        <v>0</v>
      </c>
      <c r="AN458" s="33">
        <v>21</v>
      </c>
      <c r="AO458" s="33">
        <f>L458*0</f>
        <v>0</v>
      </c>
      <c r="AP458" s="33">
        <f>L458*(1-0)</f>
        <v>0</v>
      </c>
      <c r="AQ458" s="59" t="s">
        <v>84</v>
      </c>
      <c r="AV458" s="33">
        <f>AW458+AX458</f>
        <v>0</v>
      </c>
      <c r="AW458" s="33">
        <f>K458*AO458</f>
        <v>0</v>
      </c>
      <c r="AX458" s="33">
        <f>K458*AP458</f>
        <v>0</v>
      </c>
      <c r="AY458" s="61" t="s">
        <v>1011</v>
      </c>
      <c r="AZ458" s="61" t="s">
        <v>1026</v>
      </c>
      <c r="BA458" s="58" t="s">
        <v>1037</v>
      </c>
      <c r="BC458" s="33">
        <f>AW458+AX458</f>
        <v>0</v>
      </c>
      <c r="BD458" s="33">
        <f>L458/(100-BE458)*100</f>
        <v>0</v>
      </c>
      <c r="BE458" s="33">
        <v>0</v>
      </c>
      <c r="BF458" s="33">
        <f>458</f>
        <v>458</v>
      </c>
      <c r="BH458" s="53">
        <f>K458*AO458</f>
        <v>0</v>
      </c>
      <c r="BI458" s="53">
        <f>K458*AP458</f>
        <v>0</v>
      </c>
      <c r="BJ458" s="53">
        <f>K458*L458</f>
        <v>0</v>
      </c>
      <c r="BK458" s="53" t="s">
        <v>1046</v>
      </c>
      <c r="BL458" s="33" t="s">
        <v>364</v>
      </c>
    </row>
    <row r="459" spans="1:14" ht="12.75">
      <c r="A459" s="17"/>
      <c r="D459" s="143" t="s">
        <v>791</v>
      </c>
      <c r="E459" s="144"/>
      <c r="F459" s="144"/>
      <c r="G459" s="144"/>
      <c r="H459" s="144"/>
      <c r="I459" s="144"/>
      <c r="K459" s="75">
        <v>9.983</v>
      </c>
      <c r="M459" s="14"/>
      <c r="N459" s="17"/>
    </row>
    <row r="460" spans="1:64" ht="12.75">
      <c r="A460" s="38" t="s">
        <v>179</v>
      </c>
      <c r="B460" s="45" t="s">
        <v>61</v>
      </c>
      <c r="C460" s="45" t="s">
        <v>368</v>
      </c>
      <c r="D460" s="141" t="s">
        <v>795</v>
      </c>
      <c r="E460" s="142"/>
      <c r="F460" s="142"/>
      <c r="G460" s="142"/>
      <c r="H460" s="142"/>
      <c r="I460" s="142"/>
      <c r="J460" s="45" t="s">
        <v>974</v>
      </c>
      <c r="K460" s="74">
        <f>'Stavební rozpočet'!K460</f>
        <v>9.983</v>
      </c>
      <c r="L460" s="53">
        <f>'Stavební rozpočet'!L460</f>
        <v>0</v>
      </c>
      <c r="M460" s="65">
        <f>K460*L460</f>
        <v>0</v>
      </c>
      <c r="N460" s="17"/>
      <c r="Z460" s="33">
        <f>IF(AQ460="5",BJ460,0)</f>
        <v>0</v>
      </c>
      <c r="AB460" s="33">
        <f>IF(AQ460="1",BH460,0)</f>
        <v>0</v>
      </c>
      <c r="AC460" s="33">
        <f>IF(AQ460="1",BI460,0)</f>
        <v>0</v>
      </c>
      <c r="AD460" s="33">
        <f>IF(AQ460="7",BH460,0)</f>
        <v>0</v>
      </c>
      <c r="AE460" s="33">
        <f>IF(AQ460="7",BI460,0)</f>
        <v>0</v>
      </c>
      <c r="AF460" s="33">
        <f>IF(AQ460="2",BH460,0)</f>
        <v>0</v>
      </c>
      <c r="AG460" s="33">
        <f>IF(AQ460="2",BI460,0)</f>
        <v>0</v>
      </c>
      <c r="AH460" s="33">
        <f>IF(AQ460="0",BJ460,0)</f>
        <v>0</v>
      </c>
      <c r="AI460" s="58" t="s">
        <v>61</v>
      </c>
      <c r="AJ460" s="53">
        <f>IF(AN460=0,M460,0)</f>
        <v>0</v>
      </c>
      <c r="AK460" s="53">
        <f>IF(AN460=15,M460,0)</f>
        <v>0</v>
      </c>
      <c r="AL460" s="53">
        <f>IF(AN460=21,M460,0)</f>
        <v>0</v>
      </c>
      <c r="AN460" s="33">
        <v>21</v>
      </c>
      <c r="AO460" s="33">
        <f>L460*0</f>
        <v>0</v>
      </c>
      <c r="AP460" s="33">
        <f>L460*(1-0)</f>
        <v>0</v>
      </c>
      <c r="AQ460" s="59" t="s">
        <v>84</v>
      </c>
      <c r="AV460" s="33">
        <f>AW460+AX460</f>
        <v>0</v>
      </c>
      <c r="AW460" s="33">
        <f>K460*AO460</f>
        <v>0</v>
      </c>
      <c r="AX460" s="33">
        <f>K460*AP460</f>
        <v>0</v>
      </c>
      <c r="AY460" s="61" t="s">
        <v>1011</v>
      </c>
      <c r="AZ460" s="61" t="s">
        <v>1026</v>
      </c>
      <c r="BA460" s="58" t="s">
        <v>1037</v>
      </c>
      <c r="BC460" s="33">
        <f>AW460+AX460</f>
        <v>0</v>
      </c>
      <c r="BD460" s="33">
        <f>L460/(100-BE460)*100</f>
        <v>0</v>
      </c>
      <c r="BE460" s="33">
        <v>0</v>
      </c>
      <c r="BF460" s="33">
        <f>460</f>
        <v>460</v>
      </c>
      <c r="BH460" s="53">
        <f>K460*AO460</f>
        <v>0</v>
      </c>
      <c r="BI460" s="53">
        <f>K460*AP460</f>
        <v>0</v>
      </c>
      <c r="BJ460" s="53">
        <f>K460*L460</f>
        <v>0</v>
      </c>
      <c r="BK460" s="53" t="s">
        <v>1046</v>
      </c>
      <c r="BL460" s="33" t="s">
        <v>364</v>
      </c>
    </row>
    <row r="461" spans="1:14" ht="12.75">
      <c r="A461" s="17"/>
      <c r="D461" s="143" t="s">
        <v>791</v>
      </c>
      <c r="E461" s="144"/>
      <c r="F461" s="144"/>
      <c r="G461" s="144"/>
      <c r="H461" s="144"/>
      <c r="I461" s="144"/>
      <c r="K461" s="75">
        <v>9.983</v>
      </c>
      <c r="M461" s="14"/>
      <c r="N461" s="17"/>
    </row>
    <row r="462" spans="1:64" ht="12.75">
      <c r="A462" s="38" t="s">
        <v>180</v>
      </c>
      <c r="B462" s="45" t="s">
        <v>61</v>
      </c>
      <c r="C462" s="45" t="s">
        <v>369</v>
      </c>
      <c r="D462" s="141" t="s">
        <v>796</v>
      </c>
      <c r="E462" s="142"/>
      <c r="F462" s="142"/>
      <c r="G462" s="142"/>
      <c r="H462" s="142"/>
      <c r="I462" s="142"/>
      <c r="J462" s="45" t="s">
        <v>974</v>
      </c>
      <c r="K462" s="74">
        <f>'Stavební rozpočet'!K462</f>
        <v>5.934</v>
      </c>
      <c r="L462" s="53">
        <f>'Stavební rozpočet'!L462</f>
        <v>0</v>
      </c>
      <c r="M462" s="65">
        <f>K462*L462</f>
        <v>0</v>
      </c>
      <c r="N462" s="17"/>
      <c r="Z462" s="33">
        <f>IF(AQ462="5",BJ462,0)</f>
        <v>0</v>
      </c>
      <c r="AB462" s="33">
        <f>IF(AQ462="1",BH462,0)</f>
        <v>0</v>
      </c>
      <c r="AC462" s="33">
        <f>IF(AQ462="1",BI462,0)</f>
        <v>0</v>
      </c>
      <c r="AD462" s="33">
        <f>IF(AQ462="7",BH462,0)</f>
        <v>0</v>
      </c>
      <c r="AE462" s="33">
        <f>IF(AQ462="7",BI462,0)</f>
        <v>0</v>
      </c>
      <c r="AF462" s="33">
        <f>IF(AQ462="2",BH462,0)</f>
        <v>0</v>
      </c>
      <c r="AG462" s="33">
        <f>IF(AQ462="2",BI462,0)</f>
        <v>0</v>
      </c>
      <c r="AH462" s="33">
        <f>IF(AQ462="0",BJ462,0)</f>
        <v>0</v>
      </c>
      <c r="AI462" s="58" t="s">
        <v>61</v>
      </c>
      <c r="AJ462" s="53">
        <f>IF(AN462=0,M462,0)</f>
        <v>0</v>
      </c>
      <c r="AK462" s="53">
        <f>IF(AN462=15,M462,0)</f>
        <v>0</v>
      </c>
      <c r="AL462" s="53">
        <f>IF(AN462=21,M462,0)</f>
        <v>0</v>
      </c>
      <c r="AN462" s="33">
        <v>21</v>
      </c>
      <c r="AO462" s="33">
        <f>L462*0</f>
        <v>0</v>
      </c>
      <c r="AP462" s="33">
        <f>L462*(1-0)</f>
        <v>0</v>
      </c>
      <c r="AQ462" s="59" t="s">
        <v>84</v>
      </c>
      <c r="AV462" s="33">
        <f>AW462+AX462</f>
        <v>0</v>
      </c>
      <c r="AW462" s="33">
        <f>K462*AO462</f>
        <v>0</v>
      </c>
      <c r="AX462" s="33">
        <f>K462*AP462</f>
        <v>0</v>
      </c>
      <c r="AY462" s="61" t="s">
        <v>1011</v>
      </c>
      <c r="AZ462" s="61" t="s">
        <v>1026</v>
      </c>
      <c r="BA462" s="58" t="s">
        <v>1037</v>
      </c>
      <c r="BC462" s="33">
        <f>AW462+AX462</f>
        <v>0</v>
      </c>
      <c r="BD462" s="33">
        <f>L462/(100-BE462)*100</f>
        <v>0</v>
      </c>
      <c r="BE462" s="33">
        <v>0</v>
      </c>
      <c r="BF462" s="33">
        <f>462</f>
        <v>462</v>
      </c>
      <c r="BH462" s="53">
        <f>K462*AO462</f>
        <v>0</v>
      </c>
      <c r="BI462" s="53">
        <f>K462*AP462</f>
        <v>0</v>
      </c>
      <c r="BJ462" s="53">
        <f>K462*L462</f>
        <v>0</v>
      </c>
      <c r="BK462" s="53" t="s">
        <v>1046</v>
      </c>
      <c r="BL462" s="33" t="s">
        <v>364</v>
      </c>
    </row>
    <row r="463" spans="1:14" ht="12.75">
      <c r="A463" s="17"/>
      <c r="D463" s="143" t="s">
        <v>797</v>
      </c>
      <c r="E463" s="144"/>
      <c r="F463" s="144"/>
      <c r="G463" s="144"/>
      <c r="H463" s="144"/>
      <c r="I463" s="144"/>
      <c r="K463" s="75">
        <v>5.632</v>
      </c>
      <c r="M463" s="14"/>
      <c r="N463" s="17"/>
    </row>
    <row r="464" spans="1:14" ht="12.75">
      <c r="A464" s="17"/>
      <c r="D464" s="143" t="s">
        <v>798</v>
      </c>
      <c r="E464" s="144"/>
      <c r="F464" s="144"/>
      <c r="G464" s="144"/>
      <c r="H464" s="144"/>
      <c r="I464" s="144"/>
      <c r="K464" s="75">
        <v>0.302</v>
      </c>
      <c r="M464" s="14"/>
      <c r="N464" s="17"/>
    </row>
    <row r="465" spans="1:64" ht="12.75">
      <c r="A465" s="38" t="s">
        <v>181</v>
      </c>
      <c r="B465" s="45" t="s">
        <v>61</v>
      </c>
      <c r="C465" s="45" t="s">
        <v>370</v>
      </c>
      <c r="D465" s="141" t="s">
        <v>799</v>
      </c>
      <c r="E465" s="142"/>
      <c r="F465" s="142"/>
      <c r="G465" s="142"/>
      <c r="H465" s="142"/>
      <c r="I465" s="142"/>
      <c r="J465" s="45" t="s">
        <v>974</v>
      </c>
      <c r="K465" s="74">
        <f>'Stavební rozpočet'!K465</f>
        <v>4.049</v>
      </c>
      <c r="L465" s="53">
        <f>'Stavební rozpočet'!L465</f>
        <v>0</v>
      </c>
      <c r="M465" s="65">
        <f>K465*L465</f>
        <v>0</v>
      </c>
      <c r="N465" s="17"/>
      <c r="Z465" s="33">
        <f>IF(AQ465="5",BJ465,0)</f>
        <v>0</v>
      </c>
      <c r="AB465" s="33">
        <f>IF(AQ465="1",BH465,0)</f>
        <v>0</v>
      </c>
      <c r="AC465" s="33">
        <f>IF(AQ465="1",BI465,0)</f>
        <v>0</v>
      </c>
      <c r="AD465" s="33">
        <f>IF(AQ465="7",BH465,0)</f>
        <v>0</v>
      </c>
      <c r="AE465" s="33">
        <f>IF(AQ465="7",BI465,0)</f>
        <v>0</v>
      </c>
      <c r="AF465" s="33">
        <f>IF(AQ465="2",BH465,0)</f>
        <v>0</v>
      </c>
      <c r="AG465" s="33">
        <f>IF(AQ465="2",BI465,0)</f>
        <v>0</v>
      </c>
      <c r="AH465" s="33">
        <f>IF(AQ465="0",BJ465,0)</f>
        <v>0</v>
      </c>
      <c r="AI465" s="58" t="s">
        <v>61</v>
      </c>
      <c r="AJ465" s="53">
        <f>IF(AN465=0,M465,0)</f>
        <v>0</v>
      </c>
      <c r="AK465" s="53">
        <f>IF(AN465=15,M465,0)</f>
        <v>0</v>
      </c>
      <c r="AL465" s="53">
        <f>IF(AN465=21,M465,0)</f>
        <v>0</v>
      </c>
      <c r="AN465" s="33">
        <v>21</v>
      </c>
      <c r="AO465" s="33">
        <f>L465*0</f>
        <v>0</v>
      </c>
      <c r="AP465" s="33">
        <f>L465*(1-0)</f>
        <v>0</v>
      </c>
      <c r="AQ465" s="59" t="s">
        <v>84</v>
      </c>
      <c r="AV465" s="33">
        <f>AW465+AX465</f>
        <v>0</v>
      </c>
      <c r="AW465" s="33">
        <f>K465*AO465</f>
        <v>0</v>
      </c>
      <c r="AX465" s="33">
        <f>K465*AP465</f>
        <v>0</v>
      </c>
      <c r="AY465" s="61" t="s">
        <v>1011</v>
      </c>
      <c r="AZ465" s="61" t="s">
        <v>1026</v>
      </c>
      <c r="BA465" s="58" t="s">
        <v>1037</v>
      </c>
      <c r="BC465" s="33">
        <f>AW465+AX465</f>
        <v>0</v>
      </c>
      <c r="BD465" s="33">
        <f>L465/(100-BE465)*100</f>
        <v>0</v>
      </c>
      <c r="BE465" s="33">
        <v>0</v>
      </c>
      <c r="BF465" s="33">
        <f>465</f>
        <v>465</v>
      </c>
      <c r="BH465" s="53">
        <f>K465*AO465</f>
        <v>0</v>
      </c>
      <c r="BI465" s="53">
        <f>K465*AP465</f>
        <v>0</v>
      </c>
      <c r="BJ465" s="53">
        <f>K465*L465</f>
        <v>0</v>
      </c>
      <c r="BK465" s="53" t="s">
        <v>1046</v>
      </c>
      <c r="BL465" s="33" t="s">
        <v>364</v>
      </c>
    </row>
    <row r="466" spans="1:14" ht="12.75">
      <c r="A466" s="17"/>
      <c r="D466" s="143" t="s">
        <v>800</v>
      </c>
      <c r="E466" s="144"/>
      <c r="F466" s="144"/>
      <c r="G466" s="144"/>
      <c r="H466" s="144"/>
      <c r="I466" s="144"/>
      <c r="K466" s="75">
        <v>3.888</v>
      </c>
      <c r="M466" s="14"/>
      <c r="N466" s="17"/>
    </row>
    <row r="467" spans="1:14" ht="12.75">
      <c r="A467" s="17"/>
      <c r="D467" s="143" t="s">
        <v>801</v>
      </c>
      <c r="E467" s="144"/>
      <c r="F467" s="144"/>
      <c r="G467" s="144"/>
      <c r="H467" s="144"/>
      <c r="I467" s="144"/>
      <c r="K467" s="75">
        <v>0.161</v>
      </c>
      <c r="M467" s="14"/>
      <c r="N467" s="17"/>
    </row>
    <row r="468" spans="1:47" ht="12.75">
      <c r="A468" s="37"/>
      <c r="B468" s="44" t="s">
        <v>61</v>
      </c>
      <c r="C468" s="44" t="s">
        <v>371</v>
      </c>
      <c r="D468" s="139" t="s">
        <v>802</v>
      </c>
      <c r="E468" s="140"/>
      <c r="F468" s="140"/>
      <c r="G468" s="140"/>
      <c r="H468" s="140"/>
      <c r="I468" s="140"/>
      <c r="J468" s="50" t="s">
        <v>59</v>
      </c>
      <c r="K468" s="50" t="s">
        <v>59</v>
      </c>
      <c r="L468" s="50" t="s">
        <v>59</v>
      </c>
      <c r="M468" s="64">
        <f>SUM(M469:M469)</f>
        <v>0</v>
      </c>
      <c r="N468" s="17"/>
      <c r="AI468" s="58" t="s">
        <v>61</v>
      </c>
      <c r="AS468" s="68">
        <f>SUM(AJ469:AJ469)</f>
        <v>0</v>
      </c>
      <c r="AT468" s="68">
        <f>SUM(AK469:AK469)</f>
        <v>0</v>
      </c>
      <c r="AU468" s="68">
        <f>SUM(AL469:AL469)</f>
        <v>0</v>
      </c>
    </row>
    <row r="469" spans="1:64" ht="12.75">
      <c r="A469" s="70" t="s">
        <v>182</v>
      </c>
      <c r="B469" s="71" t="s">
        <v>61</v>
      </c>
      <c r="C469" s="71" t="s">
        <v>372</v>
      </c>
      <c r="D469" s="154" t="s">
        <v>803</v>
      </c>
      <c r="E469" s="155"/>
      <c r="F469" s="155"/>
      <c r="G469" s="155"/>
      <c r="H469" s="155"/>
      <c r="I469" s="155"/>
      <c r="J469" s="71" t="s">
        <v>974</v>
      </c>
      <c r="K469" s="79">
        <f>'Stavební rozpočet'!K469</f>
        <v>367.197</v>
      </c>
      <c r="L469" s="72">
        <f>'Stavební rozpočet'!L469</f>
        <v>0</v>
      </c>
      <c r="M469" s="73">
        <f>K469*L469</f>
        <v>0</v>
      </c>
      <c r="N469" s="17"/>
      <c r="Z469" s="33">
        <f>IF(AQ469="5",BJ469,0)</f>
        <v>0</v>
      </c>
      <c r="AB469" s="33">
        <f>IF(AQ469="1",BH469,0)</f>
        <v>0</v>
      </c>
      <c r="AC469" s="33">
        <f>IF(AQ469="1",BI469,0)</f>
        <v>0</v>
      </c>
      <c r="AD469" s="33">
        <f>IF(AQ469="7",BH469,0)</f>
        <v>0</v>
      </c>
      <c r="AE469" s="33">
        <f>IF(AQ469="7",BI469,0)</f>
        <v>0</v>
      </c>
      <c r="AF469" s="33">
        <f>IF(AQ469="2",BH469,0)</f>
        <v>0</v>
      </c>
      <c r="AG469" s="33">
        <f>IF(AQ469="2",BI469,0)</f>
        <v>0</v>
      </c>
      <c r="AH469" s="33">
        <f>IF(AQ469="0",BJ469,0)</f>
        <v>0</v>
      </c>
      <c r="AI469" s="58" t="s">
        <v>61</v>
      </c>
      <c r="AJ469" s="53">
        <f>IF(AN469=0,M469,0)</f>
        <v>0</v>
      </c>
      <c r="AK469" s="53">
        <f>IF(AN469=15,M469,0)</f>
        <v>0</v>
      </c>
      <c r="AL469" s="53">
        <f>IF(AN469=21,M469,0)</f>
        <v>0</v>
      </c>
      <c r="AN469" s="33">
        <v>21</v>
      </c>
      <c r="AO469" s="33">
        <f>L469*0</f>
        <v>0</v>
      </c>
      <c r="AP469" s="33">
        <f>L469*(1-0)</f>
        <v>0</v>
      </c>
      <c r="AQ469" s="59" t="s">
        <v>84</v>
      </c>
      <c r="AV469" s="33">
        <f>AW469+AX469</f>
        <v>0</v>
      </c>
      <c r="AW469" s="33">
        <f>K469*AO469</f>
        <v>0</v>
      </c>
      <c r="AX469" s="33">
        <f>K469*AP469</f>
        <v>0</v>
      </c>
      <c r="AY469" s="61" t="s">
        <v>1012</v>
      </c>
      <c r="AZ469" s="61" t="s">
        <v>1026</v>
      </c>
      <c r="BA469" s="58" t="s">
        <v>1037</v>
      </c>
      <c r="BC469" s="33">
        <f>AW469+AX469</f>
        <v>0</v>
      </c>
      <c r="BD469" s="33">
        <f>L469/(100-BE469)*100</f>
        <v>0</v>
      </c>
      <c r="BE469" s="33">
        <v>0</v>
      </c>
      <c r="BF469" s="33">
        <f>469</f>
        <v>469</v>
      </c>
      <c r="BH469" s="53">
        <f>K469*AO469</f>
        <v>0</v>
      </c>
      <c r="BI469" s="53">
        <f>K469*AP469</f>
        <v>0</v>
      </c>
      <c r="BJ469" s="53">
        <f>K469*L469</f>
        <v>0</v>
      </c>
      <c r="BK469" s="53" t="s">
        <v>1046</v>
      </c>
      <c r="BL469" s="33" t="s">
        <v>371</v>
      </c>
    </row>
    <row r="470" spans="1:1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32">
        <f>ROUND(M13+M48+M93+M110+M115+M175+M178+M181+M194+M200+M221+M226+M229+M259+M329+M398+M403+M408+M421+M438+M450+M453+M468,1)</f>
        <v>0</v>
      </c>
    </row>
    <row r="471" ht="11.25" customHeight="1">
      <c r="A471" s="25" t="s">
        <v>18</v>
      </c>
    </row>
    <row r="472" spans="1:13" ht="12.75">
      <c r="A472" s="93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</row>
  </sheetData>
  <mergeCells count="486">
    <mergeCell ref="D466:I466"/>
    <mergeCell ref="D467:I467"/>
    <mergeCell ref="D468:I468"/>
    <mergeCell ref="D469:I469"/>
    <mergeCell ref="A472:M472"/>
    <mergeCell ref="D460:I460"/>
    <mergeCell ref="D461:I461"/>
    <mergeCell ref="D462:I462"/>
    <mergeCell ref="D463:I463"/>
    <mergeCell ref="D464:I464"/>
    <mergeCell ref="D465:I465"/>
    <mergeCell ref="D454:I454"/>
    <mergeCell ref="D455:I455"/>
    <mergeCell ref="D456:I456"/>
    <mergeCell ref="D457:I457"/>
    <mergeCell ref="D458:I458"/>
    <mergeCell ref="D459:I459"/>
    <mergeCell ref="D448:I448"/>
    <mergeCell ref="D449:I449"/>
    <mergeCell ref="D450:I450"/>
    <mergeCell ref="D451:I451"/>
    <mergeCell ref="D452:I452"/>
    <mergeCell ref="D453:I453"/>
    <mergeCell ref="D442:I442"/>
    <mergeCell ref="D443:I443"/>
    <mergeCell ref="D444:I444"/>
    <mergeCell ref="D445:I445"/>
    <mergeCell ref="D446:I446"/>
    <mergeCell ref="D447:I447"/>
    <mergeCell ref="D436:I436"/>
    <mergeCell ref="D437:I437"/>
    <mergeCell ref="D438:I438"/>
    <mergeCell ref="D439:I439"/>
    <mergeCell ref="D440:I440"/>
    <mergeCell ref="D441:I441"/>
    <mergeCell ref="D430:I430"/>
    <mergeCell ref="D431:I431"/>
    <mergeCell ref="D432:I432"/>
    <mergeCell ref="D433:I433"/>
    <mergeCell ref="D434:I434"/>
    <mergeCell ref="D435:I435"/>
    <mergeCell ref="D424:I424"/>
    <mergeCell ref="D425:I425"/>
    <mergeCell ref="D426:I426"/>
    <mergeCell ref="D427:I427"/>
    <mergeCell ref="D428:I428"/>
    <mergeCell ref="D429:I429"/>
    <mergeCell ref="D418:I418"/>
    <mergeCell ref="D419:I419"/>
    <mergeCell ref="D420:I420"/>
    <mergeCell ref="D421:I421"/>
    <mergeCell ref="D422:I422"/>
    <mergeCell ref="D423:I423"/>
    <mergeCell ref="D412:I412"/>
    <mergeCell ref="D413:I413"/>
    <mergeCell ref="D414:I414"/>
    <mergeCell ref="D415:I415"/>
    <mergeCell ref="D416:I416"/>
    <mergeCell ref="D417:I417"/>
    <mergeCell ref="D406:I406"/>
    <mergeCell ref="D407:I407"/>
    <mergeCell ref="D408:I408"/>
    <mergeCell ref="D409:I409"/>
    <mergeCell ref="D410:I410"/>
    <mergeCell ref="D411:I411"/>
    <mergeCell ref="D400:I400"/>
    <mergeCell ref="D401:I401"/>
    <mergeCell ref="D402:I402"/>
    <mergeCell ref="D403:I403"/>
    <mergeCell ref="D404:I404"/>
    <mergeCell ref="D405:I405"/>
    <mergeCell ref="D394:I394"/>
    <mergeCell ref="D395:I395"/>
    <mergeCell ref="D396:I396"/>
    <mergeCell ref="D397:I397"/>
    <mergeCell ref="D398:I398"/>
    <mergeCell ref="D399:I399"/>
    <mergeCell ref="D388:M388"/>
    <mergeCell ref="D389:I389"/>
    <mergeCell ref="D390:I390"/>
    <mergeCell ref="D391:I391"/>
    <mergeCell ref="D392:I392"/>
    <mergeCell ref="D393:I393"/>
    <mergeCell ref="D382:M382"/>
    <mergeCell ref="D383:I383"/>
    <mergeCell ref="D384:I384"/>
    <mergeCell ref="D385:M385"/>
    <mergeCell ref="D386:I386"/>
    <mergeCell ref="D387:I387"/>
    <mergeCell ref="D376:M376"/>
    <mergeCell ref="D377:I377"/>
    <mergeCell ref="D378:I378"/>
    <mergeCell ref="D379:I379"/>
    <mergeCell ref="D380:I380"/>
    <mergeCell ref="D381:I381"/>
    <mergeCell ref="D370:M370"/>
    <mergeCell ref="D371:I371"/>
    <mergeCell ref="D372:I372"/>
    <mergeCell ref="D373:M373"/>
    <mergeCell ref="D374:I374"/>
    <mergeCell ref="D375:I375"/>
    <mergeCell ref="D364:M364"/>
    <mergeCell ref="D365:I365"/>
    <mergeCell ref="D366:I366"/>
    <mergeCell ref="D367:M367"/>
    <mergeCell ref="D368:I368"/>
    <mergeCell ref="D369:I369"/>
    <mergeCell ref="D358:I358"/>
    <mergeCell ref="D359:I359"/>
    <mergeCell ref="D360:I360"/>
    <mergeCell ref="D361:M361"/>
    <mergeCell ref="D362:I362"/>
    <mergeCell ref="D363:I363"/>
    <mergeCell ref="D352:M352"/>
    <mergeCell ref="D353:I353"/>
    <mergeCell ref="D354:I354"/>
    <mergeCell ref="D355:I355"/>
    <mergeCell ref="D356:M356"/>
    <mergeCell ref="D357:I357"/>
    <mergeCell ref="D346:I346"/>
    <mergeCell ref="D347:M347"/>
    <mergeCell ref="D348:I348"/>
    <mergeCell ref="D349:I349"/>
    <mergeCell ref="D350:I350"/>
    <mergeCell ref="D351:I351"/>
    <mergeCell ref="D340:I340"/>
    <mergeCell ref="D341:I341"/>
    <mergeCell ref="D342:I342"/>
    <mergeCell ref="D343:I343"/>
    <mergeCell ref="D344:I344"/>
    <mergeCell ref="D345:I345"/>
    <mergeCell ref="D334:I334"/>
    <mergeCell ref="D335:I335"/>
    <mergeCell ref="D336:I336"/>
    <mergeCell ref="D337:I337"/>
    <mergeCell ref="D338:I338"/>
    <mergeCell ref="D339:I339"/>
    <mergeCell ref="D328:I328"/>
    <mergeCell ref="D329:I329"/>
    <mergeCell ref="D330:I330"/>
    <mergeCell ref="D331:I331"/>
    <mergeCell ref="D332:I332"/>
    <mergeCell ref="D333:I333"/>
    <mergeCell ref="D322:I322"/>
    <mergeCell ref="D323:I323"/>
    <mergeCell ref="D324:I324"/>
    <mergeCell ref="D325:I325"/>
    <mergeCell ref="D326:I326"/>
    <mergeCell ref="D327:I327"/>
    <mergeCell ref="D316:I316"/>
    <mergeCell ref="D317:I317"/>
    <mergeCell ref="D318:I318"/>
    <mergeCell ref="D319:I319"/>
    <mergeCell ref="D320:I320"/>
    <mergeCell ref="D321:I321"/>
    <mergeCell ref="D310:I310"/>
    <mergeCell ref="D311:I311"/>
    <mergeCell ref="D312:I312"/>
    <mergeCell ref="D313:I313"/>
    <mergeCell ref="D314:I314"/>
    <mergeCell ref="D315:I315"/>
    <mergeCell ref="D304:I304"/>
    <mergeCell ref="D305:I305"/>
    <mergeCell ref="D306:I306"/>
    <mergeCell ref="D307:I307"/>
    <mergeCell ref="D308:I308"/>
    <mergeCell ref="D309:I309"/>
    <mergeCell ref="D298:I298"/>
    <mergeCell ref="D299:I299"/>
    <mergeCell ref="D300:I300"/>
    <mergeCell ref="D301:I301"/>
    <mergeCell ref="D302:I302"/>
    <mergeCell ref="D303:I303"/>
    <mergeCell ref="D292:I292"/>
    <mergeCell ref="D293:I293"/>
    <mergeCell ref="D294:I294"/>
    <mergeCell ref="D295:I295"/>
    <mergeCell ref="D296:I296"/>
    <mergeCell ref="D297:I297"/>
    <mergeCell ref="D286:I286"/>
    <mergeCell ref="D287:I287"/>
    <mergeCell ref="D288:I288"/>
    <mergeCell ref="D289:I289"/>
    <mergeCell ref="D290:I290"/>
    <mergeCell ref="D291:I291"/>
    <mergeCell ref="D280:I280"/>
    <mergeCell ref="D281:I281"/>
    <mergeCell ref="D282:I282"/>
    <mergeCell ref="D283:I283"/>
    <mergeCell ref="D284:I284"/>
    <mergeCell ref="D285:I285"/>
    <mergeCell ref="D274:I274"/>
    <mergeCell ref="D275:I275"/>
    <mergeCell ref="D276:I276"/>
    <mergeCell ref="D277:I277"/>
    <mergeCell ref="D278:I278"/>
    <mergeCell ref="D279:I279"/>
    <mergeCell ref="D268:I268"/>
    <mergeCell ref="D269:I269"/>
    <mergeCell ref="D270:I270"/>
    <mergeCell ref="D271:I271"/>
    <mergeCell ref="D272:I272"/>
    <mergeCell ref="D273:I273"/>
    <mergeCell ref="D262:I262"/>
    <mergeCell ref="D263:I263"/>
    <mergeCell ref="D264:I264"/>
    <mergeCell ref="D265:I265"/>
    <mergeCell ref="D266:I266"/>
    <mergeCell ref="D267:I267"/>
    <mergeCell ref="D256:I256"/>
    <mergeCell ref="D257:I257"/>
    <mergeCell ref="D258:I258"/>
    <mergeCell ref="D259:I259"/>
    <mergeCell ref="D260:I260"/>
    <mergeCell ref="D261:I261"/>
    <mergeCell ref="D250:I250"/>
    <mergeCell ref="D251:I251"/>
    <mergeCell ref="D252:I252"/>
    <mergeCell ref="D253:I253"/>
    <mergeCell ref="D254:I254"/>
    <mergeCell ref="D255:I255"/>
    <mergeCell ref="D244:I244"/>
    <mergeCell ref="D245:I245"/>
    <mergeCell ref="D246:I246"/>
    <mergeCell ref="D247:I247"/>
    <mergeCell ref="D248:I248"/>
    <mergeCell ref="D249:M249"/>
    <mergeCell ref="D238:M238"/>
    <mergeCell ref="D239:I239"/>
    <mergeCell ref="D240:I240"/>
    <mergeCell ref="D241:I241"/>
    <mergeCell ref="D242:I242"/>
    <mergeCell ref="D243:I243"/>
    <mergeCell ref="D232:I232"/>
    <mergeCell ref="D233:I233"/>
    <mergeCell ref="D234:I234"/>
    <mergeCell ref="D235:I235"/>
    <mergeCell ref="D236:I236"/>
    <mergeCell ref="D237:I237"/>
    <mergeCell ref="D226:I226"/>
    <mergeCell ref="D227:I227"/>
    <mergeCell ref="D228:I228"/>
    <mergeCell ref="D229:I229"/>
    <mergeCell ref="D230:I230"/>
    <mergeCell ref="D231:I231"/>
    <mergeCell ref="D220:I220"/>
    <mergeCell ref="D221:I221"/>
    <mergeCell ref="D222:I222"/>
    <mergeCell ref="D223:I223"/>
    <mergeCell ref="D224:I224"/>
    <mergeCell ref="D225:I225"/>
    <mergeCell ref="D214:I214"/>
    <mergeCell ref="D215:I215"/>
    <mergeCell ref="D216:I216"/>
    <mergeCell ref="D217:I217"/>
    <mergeCell ref="D218:I218"/>
    <mergeCell ref="D219:I219"/>
    <mergeCell ref="D208:I208"/>
    <mergeCell ref="D209:I209"/>
    <mergeCell ref="D210:I210"/>
    <mergeCell ref="D211:I211"/>
    <mergeCell ref="D212:I212"/>
    <mergeCell ref="D213:I213"/>
    <mergeCell ref="D202:M202"/>
    <mergeCell ref="D203:I203"/>
    <mergeCell ref="D204:I204"/>
    <mergeCell ref="D205:I205"/>
    <mergeCell ref="D206:I206"/>
    <mergeCell ref="D207:I207"/>
    <mergeCell ref="D196:I196"/>
    <mergeCell ref="D197:I197"/>
    <mergeCell ref="D198:I198"/>
    <mergeCell ref="D199:I199"/>
    <mergeCell ref="D200:I200"/>
    <mergeCell ref="D201:I201"/>
    <mergeCell ref="D190:I190"/>
    <mergeCell ref="D191:I191"/>
    <mergeCell ref="D192:I192"/>
    <mergeCell ref="D193:I193"/>
    <mergeCell ref="D194:I194"/>
    <mergeCell ref="D195:I195"/>
    <mergeCell ref="D184:I184"/>
    <mergeCell ref="D185:I185"/>
    <mergeCell ref="D186:I186"/>
    <mergeCell ref="D187:I187"/>
    <mergeCell ref="D188:I188"/>
    <mergeCell ref="D189:I189"/>
    <mergeCell ref="D178:I178"/>
    <mergeCell ref="D179:I179"/>
    <mergeCell ref="D180:I180"/>
    <mergeCell ref="D181:I181"/>
    <mergeCell ref="D182:I182"/>
    <mergeCell ref="D183:I183"/>
    <mergeCell ref="D172:I172"/>
    <mergeCell ref="D173:I173"/>
    <mergeCell ref="D174:I174"/>
    <mergeCell ref="D175:I175"/>
    <mergeCell ref="D176:I176"/>
    <mergeCell ref="D177:I177"/>
    <mergeCell ref="D166:I166"/>
    <mergeCell ref="D167:I167"/>
    <mergeCell ref="D168:I168"/>
    <mergeCell ref="D169:I169"/>
    <mergeCell ref="D170:I170"/>
    <mergeCell ref="D171:I171"/>
    <mergeCell ref="D160:I160"/>
    <mergeCell ref="D161:I161"/>
    <mergeCell ref="D162:I162"/>
    <mergeCell ref="D163:I163"/>
    <mergeCell ref="D164:I164"/>
    <mergeCell ref="D165:I165"/>
    <mergeCell ref="D154:I154"/>
    <mergeCell ref="D155:I155"/>
    <mergeCell ref="D156:I156"/>
    <mergeCell ref="D157:I157"/>
    <mergeCell ref="D158:I158"/>
    <mergeCell ref="D159:I159"/>
    <mergeCell ref="D148:I148"/>
    <mergeCell ref="D149:I149"/>
    <mergeCell ref="D150:I150"/>
    <mergeCell ref="D151:I151"/>
    <mergeCell ref="D152:I152"/>
    <mergeCell ref="D153:I153"/>
    <mergeCell ref="D142:I142"/>
    <mergeCell ref="D143:I143"/>
    <mergeCell ref="D144:I144"/>
    <mergeCell ref="D145:I145"/>
    <mergeCell ref="D146:I146"/>
    <mergeCell ref="D147:I147"/>
    <mergeCell ref="D136:I136"/>
    <mergeCell ref="D137:I137"/>
    <mergeCell ref="D138:I138"/>
    <mergeCell ref="D139:I139"/>
    <mergeCell ref="D140:I140"/>
    <mergeCell ref="D141:I141"/>
    <mergeCell ref="D130:I130"/>
    <mergeCell ref="D131:I131"/>
    <mergeCell ref="D132:I132"/>
    <mergeCell ref="D133:I133"/>
    <mergeCell ref="D134:I134"/>
    <mergeCell ref="D135:I135"/>
    <mergeCell ref="D124:I124"/>
    <mergeCell ref="D125:I125"/>
    <mergeCell ref="D126:I126"/>
    <mergeCell ref="D127:I127"/>
    <mergeCell ref="D128:I128"/>
    <mergeCell ref="D129:I129"/>
    <mergeCell ref="D118:I118"/>
    <mergeCell ref="D119:I119"/>
    <mergeCell ref="D120:I120"/>
    <mergeCell ref="D121:I121"/>
    <mergeCell ref="D122:I122"/>
    <mergeCell ref="D123:I123"/>
    <mergeCell ref="D112:I112"/>
    <mergeCell ref="D113:I113"/>
    <mergeCell ref="D114:I114"/>
    <mergeCell ref="D115:I115"/>
    <mergeCell ref="D116:I116"/>
    <mergeCell ref="D117:I117"/>
    <mergeCell ref="D106:I106"/>
    <mergeCell ref="D107:I107"/>
    <mergeCell ref="D108:I108"/>
    <mergeCell ref="D109:I109"/>
    <mergeCell ref="D110:I110"/>
    <mergeCell ref="D111:I111"/>
    <mergeCell ref="D100:I100"/>
    <mergeCell ref="D101:I101"/>
    <mergeCell ref="D102:I102"/>
    <mergeCell ref="D103:I103"/>
    <mergeCell ref="D104:I104"/>
    <mergeCell ref="D105:I105"/>
    <mergeCell ref="D94:I94"/>
    <mergeCell ref="D95:I95"/>
    <mergeCell ref="D96:I96"/>
    <mergeCell ref="D97:I97"/>
    <mergeCell ref="D98:I98"/>
    <mergeCell ref="D99:I99"/>
    <mergeCell ref="D88:I88"/>
    <mergeCell ref="D89:I89"/>
    <mergeCell ref="D90:I90"/>
    <mergeCell ref="D91:I91"/>
    <mergeCell ref="D92:I92"/>
    <mergeCell ref="D93:I93"/>
    <mergeCell ref="D82:I82"/>
    <mergeCell ref="D83:I83"/>
    <mergeCell ref="D84:I84"/>
    <mergeCell ref="D85:I85"/>
    <mergeCell ref="D86:I86"/>
    <mergeCell ref="D87:I87"/>
    <mergeCell ref="D76:I76"/>
    <mergeCell ref="D77:I77"/>
    <mergeCell ref="D78:I78"/>
    <mergeCell ref="D79:I79"/>
    <mergeCell ref="D80:I80"/>
    <mergeCell ref="D81:I81"/>
    <mergeCell ref="D70:I70"/>
    <mergeCell ref="D71:I71"/>
    <mergeCell ref="D72:I72"/>
    <mergeCell ref="D73:I73"/>
    <mergeCell ref="D74:I74"/>
    <mergeCell ref="D75:I75"/>
    <mergeCell ref="D64:I64"/>
    <mergeCell ref="D65:I65"/>
    <mergeCell ref="D66:I66"/>
    <mergeCell ref="D67:I67"/>
    <mergeCell ref="D68:I68"/>
    <mergeCell ref="D69:I69"/>
    <mergeCell ref="D58:I58"/>
    <mergeCell ref="D59:I59"/>
    <mergeCell ref="D60:I60"/>
    <mergeCell ref="D61:I61"/>
    <mergeCell ref="D62:I62"/>
    <mergeCell ref="D63:I63"/>
    <mergeCell ref="D52:I52"/>
    <mergeCell ref="D53:I53"/>
    <mergeCell ref="D54:I54"/>
    <mergeCell ref="D55:I55"/>
    <mergeCell ref="D56:I56"/>
    <mergeCell ref="D57:I57"/>
    <mergeCell ref="D46:I46"/>
    <mergeCell ref="D47:I47"/>
    <mergeCell ref="D48:I48"/>
    <mergeCell ref="D49:I49"/>
    <mergeCell ref="D50:I50"/>
    <mergeCell ref="D51:I51"/>
    <mergeCell ref="D40:I40"/>
    <mergeCell ref="D41:I41"/>
    <mergeCell ref="D42:I42"/>
    <mergeCell ref="D43:I43"/>
    <mergeCell ref="D44:I44"/>
    <mergeCell ref="D45:I45"/>
    <mergeCell ref="D34:I34"/>
    <mergeCell ref="D35:M35"/>
    <mergeCell ref="D36:I36"/>
    <mergeCell ref="D37:I37"/>
    <mergeCell ref="D38:I38"/>
    <mergeCell ref="D39:I39"/>
    <mergeCell ref="D28:I28"/>
    <mergeCell ref="D29:I29"/>
    <mergeCell ref="D30:I30"/>
    <mergeCell ref="D31:I31"/>
    <mergeCell ref="D32:I32"/>
    <mergeCell ref="D33:I33"/>
    <mergeCell ref="D22:I22"/>
    <mergeCell ref="D23:I23"/>
    <mergeCell ref="D24:I24"/>
    <mergeCell ref="D25:I25"/>
    <mergeCell ref="D26:I26"/>
    <mergeCell ref="D27:I27"/>
    <mergeCell ref="D16:I16"/>
    <mergeCell ref="D17:I17"/>
    <mergeCell ref="D18:I18"/>
    <mergeCell ref="D19:I19"/>
    <mergeCell ref="D20:I20"/>
    <mergeCell ref="D21:I21"/>
    <mergeCell ref="D10:I10"/>
    <mergeCell ref="D11:I11"/>
    <mergeCell ref="D12:I12"/>
    <mergeCell ref="D13:I13"/>
    <mergeCell ref="D14:I14"/>
    <mergeCell ref="D15:I15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77"/>
      <c r="B1" s="1"/>
      <c r="C1" s="80" t="s">
        <v>1051</v>
      </c>
      <c r="D1" s="81"/>
      <c r="E1" s="81"/>
      <c r="F1" s="81"/>
      <c r="G1" s="81"/>
      <c r="H1" s="81"/>
      <c r="I1" s="81"/>
    </row>
    <row r="2" spans="1:10" ht="12.75">
      <c r="A2" s="82" t="s">
        <v>0</v>
      </c>
      <c r="B2" s="83"/>
      <c r="C2" s="86" t="str">
        <f>'Stavební rozpočet'!D2</f>
        <v>Rekonstrukce kanalizace a zpevněných ploch Hlavní náměstí 9-12; Krnov</v>
      </c>
      <c r="D2" s="87"/>
      <c r="E2" s="89" t="s">
        <v>32</v>
      </c>
      <c r="F2" s="89" t="str">
        <f>'Stavební rozpočet'!I2</f>
        <v> </v>
      </c>
      <c r="G2" s="83"/>
      <c r="H2" s="89" t="s">
        <v>52</v>
      </c>
      <c r="I2" s="90"/>
      <c r="J2" s="17"/>
    </row>
    <row r="3" spans="1:10" ht="25.7" customHeight="1">
      <c r="A3" s="84"/>
      <c r="B3" s="85"/>
      <c r="C3" s="88"/>
      <c r="D3" s="88"/>
      <c r="E3" s="85"/>
      <c r="F3" s="85"/>
      <c r="G3" s="85"/>
      <c r="H3" s="85"/>
      <c r="I3" s="91"/>
      <c r="J3" s="17"/>
    </row>
    <row r="4" spans="1:10" ht="12.75">
      <c r="A4" s="92" t="s">
        <v>1</v>
      </c>
      <c r="B4" s="85"/>
      <c r="C4" s="93" t="str">
        <f>'Stavební rozpočet'!D4</f>
        <v xml:space="preserve"> </v>
      </c>
      <c r="D4" s="85"/>
      <c r="E4" s="93" t="s">
        <v>33</v>
      </c>
      <c r="F4" s="93" t="str">
        <f>'Stavební rozpočet'!I4</f>
        <v>hProjekce - Libor Horák</v>
      </c>
      <c r="G4" s="85"/>
      <c r="H4" s="93" t="s">
        <v>52</v>
      </c>
      <c r="I4" s="94" t="s">
        <v>56</v>
      </c>
      <c r="J4" s="17"/>
    </row>
    <row r="5" spans="1:10" ht="12.75">
      <c r="A5" s="84"/>
      <c r="B5" s="85"/>
      <c r="C5" s="85"/>
      <c r="D5" s="85"/>
      <c r="E5" s="85"/>
      <c r="F5" s="85"/>
      <c r="G5" s="85"/>
      <c r="H5" s="85"/>
      <c r="I5" s="91"/>
      <c r="J5" s="17"/>
    </row>
    <row r="6" spans="1:10" ht="12.75">
      <c r="A6" s="92" t="s">
        <v>2</v>
      </c>
      <c r="B6" s="85"/>
      <c r="C6" s="93" t="str">
        <f>'Stavební rozpočet'!D6</f>
        <v>Krnov</v>
      </c>
      <c r="D6" s="85"/>
      <c r="E6" s="93" t="s">
        <v>34</v>
      </c>
      <c r="F6" s="93" t="str">
        <f>'Stavební rozpočet'!I6</f>
        <v> </v>
      </c>
      <c r="G6" s="85"/>
      <c r="H6" s="93" t="s">
        <v>52</v>
      </c>
      <c r="I6" s="94"/>
      <c r="J6" s="17"/>
    </row>
    <row r="7" spans="1:10" ht="12.75">
      <c r="A7" s="84"/>
      <c r="B7" s="85"/>
      <c r="C7" s="85"/>
      <c r="D7" s="85"/>
      <c r="E7" s="85"/>
      <c r="F7" s="85"/>
      <c r="G7" s="85"/>
      <c r="H7" s="85"/>
      <c r="I7" s="91"/>
      <c r="J7" s="17"/>
    </row>
    <row r="8" spans="1:10" ht="12.75">
      <c r="A8" s="92" t="s">
        <v>3</v>
      </c>
      <c r="B8" s="85"/>
      <c r="C8" s="93" t="str">
        <f>'Stavební rozpočet'!G4</f>
        <v>08.11.2021</v>
      </c>
      <c r="D8" s="85"/>
      <c r="E8" s="93" t="s">
        <v>35</v>
      </c>
      <c r="F8" s="93" t="str">
        <f>'Stavební rozpočet'!G6</f>
        <v xml:space="preserve"> </v>
      </c>
      <c r="G8" s="85"/>
      <c r="H8" s="95" t="s">
        <v>53</v>
      </c>
      <c r="I8" s="94" t="s">
        <v>96</v>
      </c>
      <c r="J8" s="17"/>
    </row>
    <row r="9" spans="1:10" ht="12.75">
      <c r="A9" s="84"/>
      <c r="B9" s="85"/>
      <c r="C9" s="85"/>
      <c r="D9" s="85"/>
      <c r="E9" s="85"/>
      <c r="F9" s="85"/>
      <c r="G9" s="85"/>
      <c r="H9" s="85"/>
      <c r="I9" s="91"/>
      <c r="J9" s="17"/>
    </row>
    <row r="10" spans="1:10" ht="12.75">
      <c r="A10" s="92" t="s">
        <v>4</v>
      </c>
      <c r="B10" s="85"/>
      <c r="C10" s="93" t="str">
        <f>'Stavební rozpočet'!D8</f>
        <v xml:space="preserve"> </v>
      </c>
      <c r="D10" s="85"/>
      <c r="E10" s="93" t="s">
        <v>36</v>
      </c>
      <c r="F10" s="93" t="str">
        <f>'Stavební rozpočet'!I8</f>
        <v> </v>
      </c>
      <c r="G10" s="85"/>
      <c r="H10" s="95" t="s">
        <v>54</v>
      </c>
      <c r="I10" s="98" t="str">
        <f>'Stavební rozpočet'!G8</f>
        <v>08.11.2021</v>
      </c>
      <c r="J10" s="17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9"/>
      <c r="J11" s="17"/>
    </row>
    <row r="12" spans="1:9" ht="23.45" customHeight="1">
      <c r="A12" s="100" t="s">
        <v>5</v>
      </c>
      <c r="B12" s="101"/>
      <c r="C12" s="101"/>
      <c r="D12" s="101"/>
      <c r="E12" s="101"/>
      <c r="F12" s="101"/>
      <c r="G12" s="101"/>
      <c r="H12" s="101"/>
      <c r="I12" s="101"/>
    </row>
    <row r="13" spans="1:10" ht="26.45" customHeight="1">
      <c r="A13" s="2" t="s">
        <v>6</v>
      </c>
      <c r="B13" s="102" t="s">
        <v>19</v>
      </c>
      <c r="C13" s="103"/>
      <c r="D13" s="2" t="s">
        <v>23</v>
      </c>
      <c r="E13" s="102" t="s">
        <v>37</v>
      </c>
      <c r="F13" s="103"/>
      <c r="G13" s="2" t="s">
        <v>38</v>
      </c>
      <c r="H13" s="102" t="s">
        <v>55</v>
      </c>
      <c r="I13" s="103"/>
      <c r="J13" s="17"/>
    </row>
    <row r="14" spans="1:10" ht="15.2" customHeight="1">
      <c r="A14" s="3" t="s">
        <v>7</v>
      </c>
      <c r="B14" s="8" t="s">
        <v>20</v>
      </c>
      <c r="C14" s="12">
        <f>SUM('Stavební rozpočet (SO 01)'!AB12:AB721)</f>
        <v>0</v>
      </c>
      <c r="D14" s="104" t="s">
        <v>24</v>
      </c>
      <c r="E14" s="105"/>
      <c r="F14" s="12">
        <v>0</v>
      </c>
      <c r="G14" s="104" t="s">
        <v>39</v>
      </c>
      <c r="H14" s="105"/>
      <c r="I14" s="12">
        <v>0</v>
      </c>
      <c r="J14" s="17"/>
    </row>
    <row r="15" spans="1:10" ht="15.2" customHeight="1">
      <c r="A15" s="4"/>
      <c r="B15" s="8" t="s">
        <v>21</v>
      </c>
      <c r="C15" s="12">
        <f>SUM('Stavební rozpočet (SO 01)'!AC12:AC721)</f>
        <v>0</v>
      </c>
      <c r="D15" s="104" t="s">
        <v>25</v>
      </c>
      <c r="E15" s="105"/>
      <c r="F15" s="12">
        <v>0</v>
      </c>
      <c r="G15" s="104" t="s">
        <v>40</v>
      </c>
      <c r="H15" s="105"/>
      <c r="I15" s="12">
        <v>0</v>
      </c>
      <c r="J15" s="17"/>
    </row>
    <row r="16" spans="1:10" ht="15.2" customHeight="1">
      <c r="A16" s="3" t="s">
        <v>8</v>
      </c>
      <c r="B16" s="8" t="s">
        <v>20</v>
      </c>
      <c r="C16" s="12">
        <f>SUM('Stavební rozpočet (SO 01)'!AD12:AD721)</f>
        <v>0</v>
      </c>
      <c r="D16" s="104" t="s">
        <v>26</v>
      </c>
      <c r="E16" s="105"/>
      <c r="F16" s="12">
        <v>0</v>
      </c>
      <c r="G16" s="104" t="s">
        <v>41</v>
      </c>
      <c r="H16" s="105"/>
      <c r="I16" s="12">
        <v>0</v>
      </c>
      <c r="J16" s="17"/>
    </row>
    <row r="17" spans="1:10" ht="15.2" customHeight="1">
      <c r="A17" s="4"/>
      <c r="B17" s="8" t="s">
        <v>21</v>
      </c>
      <c r="C17" s="12">
        <f>SUM('Stavební rozpočet (SO 01)'!AE12:AE721)</f>
        <v>0</v>
      </c>
      <c r="D17" s="104"/>
      <c r="E17" s="105"/>
      <c r="F17" s="13"/>
      <c r="G17" s="104" t="s">
        <v>42</v>
      </c>
      <c r="H17" s="105"/>
      <c r="I17" s="12">
        <v>0</v>
      </c>
      <c r="J17" s="17"/>
    </row>
    <row r="18" spans="1:10" ht="15.2" customHeight="1">
      <c r="A18" s="3" t="s">
        <v>9</v>
      </c>
      <c r="B18" s="8" t="s">
        <v>20</v>
      </c>
      <c r="C18" s="12">
        <f>SUM('Stavební rozpočet (SO 01)'!AF12:AF721)</f>
        <v>0</v>
      </c>
      <c r="D18" s="104"/>
      <c r="E18" s="105"/>
      <c r="F18" s="13"/>
      <c r="G18" s="104" t="s">
        <v>43</v>
      </c>
      <c r="H18" s="105"/>
      <c r="I18" s="12">
        <v>0</v>
      </c>
      <c r="J18" s="17"/>
    </row>
    <row r="19" spans="1:10" ht="15.2" customHeight="1">
      <c r="A19" s="4"/>
      <c r="B19" s="8" t="s">
        <v>21</v>
      </c>
      <c r="C19" s="12">
        <f>SUM('Stavební rozpočet (SO 01)'!AG12:AG721)</f>
        <v>0</v>
      </c>
      <c r="D19" s="104"/>
      <c r="E19" s="105"/>
      <c r="F19" s="13"/>
      <c r="G19" s="104" t="s">
        <v>44</v>
      </c>
      <c r="H19" s="105"/>
      <c r="I19" s="12">
        <v>0</v>
      </c>
      <c r="J19" s="17"/>
    </row>
    <row r="20" spans="1:10" ht="15.2" customHeight="1">
      <c r="A20" s="106" t="s">
        <v>10</v>
      </c>
      <c r="B20" s="107"/>
      <c r="C20" s="12">
        <f>SUM('Stavební rozpočet (SO 01)'!AH12:AH721)</f>
        <v>0</v>
      </c>
      <c r="D20" s="104"/>
      <c r="E20" s="105"/>
      <c r="F20" s="13"/>
      <c r="G20" s="104"/>
      <c r="H20" s="105"/>
      <c r="I20" s="13"/>
      <c r="J20" s="17"/>
    </row>
    <row r="21" spans="1:10" ht="15.2" customHeight="1">
      <c r="A21" s="106" t="s">
        <v>11</v>
      </c>
      <c r="B21" s="107"/>
      <c r="C21" s="12">
        <f>SUM('Stavební rozpočet (SO 01)'!Z12:Z721)</f>
        <v>0</v>
      </c>
      <c r="D21" s="104"/>
      <c r="E21" s="105"/>
      <c r="F21" s="13"/>
      <c r="G21" s="104"/>
      <c r="H21" s="105"/>
      <c r="I21" s="13"/>
      <c r="J21" s="17"/>
    </row>
    <row r="22" spans="1:10" ht="16.7" customHeight="1">
      <c r="A22" s="106" t="s">
        <v>12</v>
      </c>
      <c r="B22" s="107"/>
      <c r="C22" s="12">
        <f>ROUND(SUM(C14:C21),1)</f>
        <v>0</v>
      </c>
      <c r="D22" s="106" t="s">
        <v>27</v>
      </c>
      <c r="E22" s="107"/>
      <c r="F22" s="12">
        <f>SUM(F14:F21)</f>
        <v>0</v>
      </c>
      <c r="G22" s="106" t="s">
        <v>45</v>
      </c>
      <c r="H22" s="107"/>
      <c r="I22" s="12">
        <f>SUM(I14:I21)</f>
        <v>0</v>
      </c>
      <c r="J22" s="17"/>
    </row>
    <row r="23" spans="1:9" ht="15.2" customHeight="1">
      <c r="A23" s="5"/>
      <c r="B23" s="5"/>
      <c r="C23" s="5"/>
      <c r="D23" s="5"/>
      <c r="E23" s="5"/>
      <c r="F23" s="10"/>
      <c r="G23" s="106" t="s">
        <v>47</v>
      </c>
      <c r="H23" s="107"/>
      <c r="I23" s="69"/>
    </row>
    <row r="24" spans="1:8" ht="12.75">
      <c r="A24" s="1"/>
      <c r="B24" s="1"/>
      <c r="C24" s="1"/>
      <c r="G24" s="5"/>
      <c r="H24" s="5"/>
    </row>
    <row r="25" spans="1:9" ht="15.2" customHeight="1">
      <c r="A25" s="108" t="s">
        <v>13</v>
      </c>
      <c r="B25" s="109"/>
      <c r="C25" s="19">
        <f>ROUND(SUM('Stavební rozpočet (SO 01)'!AJ12:AJ721),1)</f>
        <v>0</v>
      </c>
      <c r="D25" s="11"/>
      <c r="E25" s="1"/>
      <c r="F25" s="1"/>
      <c r="G25" s="1"/>
      <c r="H25" s="1"/>
      <c r="I25" s="1"/>
    </row>
    <row r="26" spans="1:10" ht="15.2" customHeight="1">
      <c r="A26" s="108" t="s">
        <v>14</v>
      </c>
      <c r="B26" s="109"/>
      <c r="C26" s="19">
        <f>ROUND(SUM('Stavební rozpočet (SO 01)'!AK12:AK721),1)</f>
        <v>0</v>
      </c>
      <c r="D26" s="108" t="s">
        <v>29</v>
      </c>
      <c r="E26" s="109"/>
      <c r="F26" s="19">
        <f>ROUND(C26*(15/100),2)</f>
        <v>0</v>
      </c>
      <c r="G26" s="108" t="s">
        <v>49</v>
      </c>
      <c r="H26" s="109"/>
      <c r="I26" s="19">
        <f>ROUND(SUM(C25:C27),1)</f>
        <v>0</v>
      </c>
      <c r="J26" s="17"/>
    </row>
    <row r="27" spans="1:10" ht="15.2" customHeight="1">
      <c r="A27" s="108" t="s">
        <v>15</v>
      </c>
      <c r="B27" s="109"/>
      <c r="C27" s="19">
        <f>ROUND(SUM('Stavební rozpočet (SO 01)'!AL12:AL721)+(F22+I22+F23+I23+I24),1)</f>
        <v>0</v>
      </c>
      <c r="D27" s="108" t="s">
        <v>30</v>
      </c>
      <c r="E27" s="109"/>
      <c r="F27" s="19">
        <f>ROUND(C27*(21/100),2)</f>
        <v>0</v>
      </c>
      <c r="G27" s="108" t="s">
        <v>50</v>
      </c>
      <c r="H27" s="109"/>
      <c r="I27" s="19">
        <f>ROUND(SUM(F26:F27)+I26,1)</f>
        <v>0</v>
      </c>
      <c r="J27" s="17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10" ht="14.45" customHeight="1">
      <c r="A29" s="110" t="s">
        <v>16</v>
      </c>
      <c r="B29" s="111"/>
      <c r="C29" s="112"/>
      <c r="D29" s="110" t="s">
        <v>31</v>
      </c>
      <c r="E29" s="111"/>
      <c r="F29" s="112"/>
      <c r="G29" s="110" t="s">
        <v>51</v>
      </c>
      <c r="H29" s="111"/>
      <c r="I29" s="112"/>
      <c r="J29" s="18"/>
    </row>
    <row r="30" spans="1:10" ht="14.45" customHeight="1">
      <c r="A30" s="113"/>
      <c r="B30" s="114"/>
      <c r="C30" s="115"/>
      <c r="D30" s="113"/>
      <c r="E30" s="114"/>
      <c r="F30" s="115"/>
      <c r="G30" s="113"/>
      <c r="H30" s="114"/>
      <c r="I30" s="115"/>
      <c r="J30" s="18"/>
    </row>
    <row r="31" spans="1:10" ht="14.45" customHeight="1">
      <c r="A31" s="113"/>
      <c r="B31" s="114"/>
      <c r="C31" s="115"/>
      <c r="D31" s="113"/>
      <c r="E31" s="114"/>
      <c r="F31" s="115"/>
      <c r="G31" s="113"/>
      <c r="H31" s="114"/>
      <c r="I31" s="115"/>
      <c r="J31" s="18"/>
    </row>
    <row r="32" spans="1:10" ht="14.45" customHeight="1">
      <c r="A32" s="113"/>
      <c r="B32" s="114"/>
      <c r="C32" s="115"/>
      <c r="D32" s="113"/>
      <c r="E32" s="114"/>
      <c r="F32" s="115"/>
      <c r="G32" s="113"/>
      <c r="H32" s="114"/>
      <c r="I32" s="115"/>
      <c r="J32" s="18"/>
    </row>
    <row r="33" spans="1:10" ht="14.45" customHeight="1">
      <c r="A33" s="116" t="s">
        <v>17</v>
      </c>
      <c r="B33" s="117"/>
      <c r="C33" s="118"/>
      <c r="D33" s="116" t="s">
        <v>17</v>
      </c>
      <c r="E33" s="117"/>
      <c r="F33" s="118"/>
      <c r="G33" s="116" t="s">
        <v>17</v>
      </c>
      <c r="H33" s="117"/>
      <c r="I33" s="118"/>
      <c r="J33" s="18"/>
    </row>
    <row r="34" spans="1:9" ht="11.25" customHeight="1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9" ht="12.75">
      <c r="A35" s="93"/>
      <c r="B35" s="85"/>
      <c r="C35" s="85"/>
      <c r="D35" s="85"/>
      <c r="E35" s="85"/>
      <c r="F35" s="85"/>
      <c r="G35" s="85"/>
      <c r="H35" s="85"/>
      <c r="I35" s="85"/>
    </row>
  </sheetData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G23:H23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5"/>
  <sheetViews>
    <sheetView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67.00390625" style="0" customWidth="1"/>
    <col min="10" max="10" width="4.28125" style="0" customWidth="1"/>
    <col min="11" max="11" width="12.8515625" style="0" customWidth="1"/>
    <col min="12" max="12" width="12.00390625" style="0" customWidth="1"/>
    <col min="13" max="13" width="14.28125" style="0" customWidth="1"/>
    <col min="25" max="64" width="12.140625" style="0" hidden="1" customWidth="1"/>
  </cols>
  <sheetData>
    <row r="1" spans="1:13" ht="72.95" customHeight="1">
      <c r="A1" s="119" t="s">
        <v>1052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12.75">
      <c r="A2" s="82" t="s">
        <v>0</v>
      </c>
      <c r="B2" s="83"/>
      <c r="C2" s="83"/>
      <c r="D2" s="86" t="str">
        <f>'Stavební rozpočet'!D2</f>
        <v>Rekonstrukce kanalizace a zpevněných ploch Hlavní náměstí 9-12; Krnov</v>
      </c>
      <c r="E2" s="133" t="s">
        <v>72</v>
      </c>
      <c r="F2" s="83"/>
      <c r="G2" s="89" t="str">
        <f>'Stavební rozpočet'!G2</f>
        <v xml:space="preserve"> </v>
      </c>
      <c r="H2" s="89" t="s">
        <v>32</v>
      </c>
      <c r="I2" s="89" t="str">
        <f>'Stavební rozpočet'!I2</f>
        <v> </v>
      </c>
      <c r="J2" s="83"/>
      <c r="K2" s="83"/>
      <c r="L2" s="83"/>
      <c r="M2" s="120"/>
      <c r="N2" s="17"/>
    </row>
    <row r="3" spans="1:14" ht="12.75">
      <c r="A3" s="84"/>
      <c r="B3" s="85"/>
      <c r="C3" s="85"/>
      <c r="D3" s="88"/>
      <c r="E3" s="85"/>
      <c r="F3" s="85"/>
      <c r="G3" s="85"/>
      <c r="H3" s="85"/>
      <c r="I3" s="85"/>
      <c r="J3" s="85"/>
      <c r="K3" s="85"/>
      <c r="L3" s="85"/>
      <c r="M3" s="91"/>
      <c r="N3" s="17"/>
    </row>
    <row r="4" spans="1:14" ht="12.75">
      <c r="A4" s="92" t="s">
        <v>1</v>
      </c>
      <c r="B4" s="85"/>
      <c r="C4" s="85"/>
      <c r="D4" s="93" t="str">
        <f>'Stavební rozpočet'!D4</f>
        <v xml:space="preserve"> </v>
      </c>
      <c r="E4" s="95" t="s">
        <v>3</v>
      </c>
      <c r="F4" s="85"/>
      <c r="G4" s="93" t="str">
        <f>'Stavební rozpočet'!G4</f>
        <v>08.11.2021</v>
      </c>
      <c r="H4" s="93" t="s">
        <v>33</v>
      </c>
      <c r="I4" s="93" t="str">
        <f>'Stavební rozpočet'!I4</f>
        <v>hProjekce - Libor Horák</v>
      </c>
      <c r="J4" s="85"/>
      <c r="K4" s="85"/>
      <c r="L4" s="85"/>
      <c r="M4" s="91"/>
      <c r="N4" s="17"/>
    </row>
    <row r="5" spans="1:14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91"/>
      <c r="N5" s="17"/>
    </row>
    <row r="6" spans="1:14" ht="12.75">
      <c r="A6" s="92" t="s">
        <v>2</v>
      </c>
      <c r="B6" s="85"/>
      <c r="C6" s="85"/>
      <c r="D6" s="93" t="str">
        <f>'Stavební rozpočet'!D6</f>
        <v>Krnov</v>
      </c>
      <c r="E6" s="95" t="s">
        <v>35</v>
      </c>
      <c r="F6" s="85"/>
      <c r="G6" s="93" t="str">
        <f>'Stavební rozpočet'!G6</f>
        <v xml:space="preserve"> </v>
      </c>
      <c r="H6" s="93" t="s">
        <v>34</v>
      </c>
      <c r="I6" s="93" t="str">
        <f>'Stavební rozpočet'!I6</f>
        <v> </v>
      </c>
      <c r="J6" s="85"/>
      <c r="K6" s="85"/>
      <c r="L6" s="85"/>
      <c r="M6" s="91"/>
      <c r="N6" s="17"/>
    </row>
    <row r="7" spans="1:14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91"/>
      <c r="N7" s="17"/>
    </row>
    <row r="8" spans="1:14" ht="12.75">
      <c r="A8" s="92" t="s">
        <v>4</v>
      </c>
      <c r="B8" s="85"/>
      <c r="C8" s="85"/>
      <c r="D8" s="93" t="str">
        <f>'Stavební rozpočet'!D8</f>
        <v xml:space="preserve"> </v>
      </c>
      <c r="E8" s="95" t="s">
        <v>73</v>
      </c>
      <c r="F8" s="85"/>
      <c r="G8" s="93" t="str">
        <f>'Stavební rozpočet'!G8</f>
        <v>08.11.2021</v>
      </c>
      <c r="H8" s="93" t="s">
        <v>36</v>
      </c>
      <c r="I8" s="93" t="str">
        <f>'Stavební rozpočet'!I8</f>
        <v> </v>
      </c>
      <c r="J8" s="85"/>
      <c r="K8" s="85"/>
      <c r="L8" s="85"/>
      <c r="M8" s="91"/>
      <c r="N8" s="17"/>
    </row>
    <row r="9" spans="1:14" ht="12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  <c r="N9" s="17"/>
    </row>
    <row r="10" spans="1:64" ht="12.75">
      <c r="A10" s="34" t="s">
        <v>79</v>
      </c>
      <c r="B10" s="41" t="s">
        <v>60</v>
      </c>
      <c r="C10" s="41" t="s">
        <v>263</v>
      </c>
      <c r="D10" s="134" t="s">
        <v>430</v>
      </c>
      <c r="E10" s="135"/>
      <c r="F10" s="135"/>
      <c r="G10" s="135"/>
      <c r="H10" s="135"/>
      <c r="I10" s="136"/>
      <c r="J10" s="41" t="s">
        <v>967</v>
      </c>
      <c r="K10" s="52" t="s">
        <v>978</v>
      </c>
      <c r="L10" s="55" t="s">
        <v>979</v>
      </c>
      <c r="M10" s="26" t="s">
        <v>75</v>
      </c>
      <c r="N10" s="18"/>
      <c r="BK10" s="58" t="s">
        <v>1045</v>
      </c>
      <c r="BL10" s="62" t="s">
        <v>1048</v>
      </c>
    </row>
    <row r="11" spans="1:62" ht="12.75">
      <c r="A11" s="35" t="s">
        <v>59</v>
      </c>
      <c r="B11" s="42" t="s">
        <v>59</v>
      </c>
      <c r="C11" s="42" t="s">
        <v>59</v>
      </c>
      <c r="D11" s="127" t="s">
        <v>431</v>
      </c>
      <c r="E11" s="128"/>
      <c r="F11" s="128"/>
      <c r="G11" s="128"/>
      <c r="H11" s="128"/>
      <c r="I11" s="129"/>
      <c r="J11" s="42" t="s">
        <v>59</v>
      </c>
      <c r="K11" s="42" t="s">
        <v>59</v>
      </c>
      <c r="L11" s="56" t="s">
        <v>980</v>
      </c>
      <c r="M11" s="27" t="s">
        <v>76</v>
      </c>
      <c r="N11" s="18"/>
      <c r="Z11" s="58" t="s">
        <v>981</v>
      </c>
      <c r="AA11" s="58" t="s">
        <v>982</v>
      </c>
      <c r="AB11" s="58" t="s">
        <v>983</v>
      </c>
      <c r="AC11" s="58" t="s">
        <v>984</v>
      </c>
      <c r="AD11" s="58" t="s">
        <v>985</v>
      </c>
      <c r="AE11" s="58" t="s">
        <v>986</v>
      </c>
      <c r="AF11" s="58" t="s">
        <v>987</v>
      </c>
      <c r="AG11" s="58" t="s">
        <v>988</v>
      </c>
      <c r="AH11" s="58" t="s">
        <v>989</v>
      </c>
      <c r="BH11" s="58" t="s">
        <v>1042</v>
      </c>
      <c r="BI11" s="58" t="s">
        <v>1043</v>
      </c>
      <c r="BJ11" s="58" t="s">
        <v>1044</v>
      </c>
    </row>
    <row r="12" spans="1:14" ht="12.75">
      <c r="A12" s="36"/>
      <c r="B12" s="43" t="s">
        <v>62</v>
      </c>
      <c r="C12" s="43"/>
      <c r="D12" s="137" t="s">
        <v>68</v>
      </c>
      <c r="E12" s="138"/>
      <c r="F12" s="138"/>
      <c r="G12" s="138"/>
      <c r="H12" s="138"/>
      <c r="I12" s="138"/>
      <c r="J12" s="49" t="s">
        <v>59</v>
      </c>
      <c r="K12" s="49" t="s">
        <v>59</v>
      </c>
      <c r="L12" s="49" t="s">
        <v>59</v>
      </c>
      <c r="M12" s="63">
        <f>M13+M17+M38+M47+M70+M81</f>
        <v>0</v>
      </c>
      <c r="N12" s="17"/>
    </row>
    <row r="13" spans="1:47" ht="12.75">
      <c r="A13" s="37"/>
      <c r="B13" s="44" t="s">
        <v>62</v>
      </c>
      <c r="C13" s="44" t="s">
        <v>97</v>
      </c>
      <c r="D13" s="139" t="s">
        <v>593</v>
      </c>
      <c r="E13" s="140"/>
      <c r="F13" s="140"/>
      <c r="G13" s="140"/>
      <c r="H13" s="140"/>
      <c r="I13" s="140"/>
      <c r="J13" s="50" t="s">
        <v>59</v>
      </c>
      <c r="K13" s="50" t="s">
        <v>59</v>
      </c>
      <c r="L13" s="50" t="s">
        <v>59</v>
      </c>
      <c r="M13" s="64">
        <f>SUM(M14:M14)</f>
        <v>0</v>
      </c>
      <c r="N13" s="17"/>
      <c r="AI13" s="58" t="s">
        <v>62</v>
      </c>
      <c r="AS13" s="68">
        <f>SUM(AJ14:AJ14)</f>
        <v>0</v>
      </c>
      <c r="AT13" s="68">
        <f>SUM(AK14:AK14)</f>
        <v>0</v>
      </c>
      <c r="AU13" s="68">
        <f>SUM(AL14:AL14)</f>
        <v>0</v>
      </c>
    </row>
    <row r="14" spans="1:64" ht="12.75">
      <c r="A14" s="38" t="s">
        <v>80</v>
      </c>
      <c r="B14" s="45" t="s">
        <v>62</v>
      </c>
      <c r="C14" s="45" t="s">
        <v>287</v>
      </c>
      <c r="D14" s="141" t="s">
        <v>594</v>
      </c>
      <c r="E14" s="142"/>
      <c r="F14" s="142"/>
      <c r="G14" s="142"/>
      <c r="H14" s="142"/>
      <c r="I14" s="142"/>
      <c r="J14" s="45" t="s">
        <v>972</v>
      </c>
      <c r="K14" s="74">
        <f>'Stavební rozpočet'!K472</f>
        <v>714</v>
      </c>
      <c r="L14" s="53">
        <f>'Stavební rozpočet'!L472</f>
        <v>0</v>
      </c>
      <c r="M14" s="65">
        <f>K14*L14</f>
        <v>0</v>
      </c>
      <c r="N14" s="17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58" t="s">
        <v>62</v>
      </c>
      <c r="AJ14" s="53">
        <f>IF(AN14=0,M14,0)</f>
        <v>0</v>
      </c>
      <c r="AK14" s="53">
        <f>IF(AN14=15,M14,0)</f>
        <v>0</v>
      </c>
      <c r="AL14" s="53">
        <f>IF(AN14=21,M14,0)</f>
        <v>0</v>
      </c>
      <c r="AN14" s="33">
        <v>21</v>
      </c>
      <c r="AO14" s="33">
        <f>L14*0</f>
        <v>0</v>
      </c>
      <c r="AP14" s="33">
        <f>L14*(1-0)</f>
        <v>0</v>
      </c>
      <c r="AQ14" s="59" t="s">
        <v>80</v>
      </c>
      <c r="AV14" s="33">
        <f>AW14+AX14</f>
        <v>0</v>
      </c>
      <c r="AW14" s="33">
        <f>K14*AO14</f>
        <v>0</v>
      </c>
      <c r="AX14" s="33">
        <f>K14*AP14</f>
        <v>0</v>
      </c>
      <c r="AY14" s="61" t="s">
        <v>995</v>
      </c>
      <c r="AZ14" s="61" t="s">
        <v>1027</v>
      </c>
      <c r="BA14" s="58" t="s">
        <v>1038</v>
      </c>
      <c r="BC14" s="33">
        <f>AW14+AX14</f>
        <v>0</v>
      </c>
      <c r="BD14" s="33">
        <f>L14/(100-BE14)*100</f>
        <v>0</v>
      </c>
      <c r="BE14" s="33">
        <v>0</v>
      </c>
      <c r="BF14" s="33">
        <f>14</f>
        <v>14</v>
      </c>
      <c r="BH14" s="53">
        <f>K14*AO14</f>
        <v>0</v>
      </c>
      <c r="BI14" s="53">
        <f>K14*AP14</f>
        <v>0</v>
      </c>
      <c r="BJ14" s="53">
        <f>K14*L14</f>
        <v>0</v>
      </c>
      <c r="BK14" s="53" t="s">
        <v>1046</v>
      </c>
      <c r="BL14" s="33">
        <v>18</v>
      </c>
    </row>
    <row r="15" spans="1:14" ht="12.75">
      <c r="A15" s="17"/>
      <c r="D15" s="143" t="s">
        <v>804</v>
      </c>
      <c r="E15" s="144"/>
      <c r="F15" s="144"/>
      <c r="G15" s="144"/>
      <c r="H15" s="144"/>
      <c r="I15" s="144"/>
      <c r="K15" s="75">
        <v>879</v>
      </c>
      <c r="M15" s="14"/>
      <c r="N15" s="17"/>
    </row>
    <row r="16" spans="1:14" ht="12.75">
      <c r="A16" s="17"/>
      <c r="D16" s="143" t="s">
        <v>805</v>
      </c>
      <c r="E16" s="144"/>
      <c r="F16" s="144"/>
      <c r="G16" s="144"/>
      <c r="H16" s="144"/>
      <c r="I16" s="144"/>
      <c r="K16" s="75">
        <v>-165</v>
      </c>
      <c r="M16" s="14"/>
      <c r="N16" s="17"/>
    </row>
    <row r="17" spans="1:47" ht="12.75">
      <c r="A17" s="37"/>
      <c r="B17" s="44" t="s">
        <v>62</v>
      </c>
      <c r="C17" s="44" t="s">
        <v>135</v>
      </c>
      <c r="D17" s="139" t="s">
        <v>806</v>
      </c>
      <c r="E17" s="140"/>
      <c r="F17" s="140"/>
      <c r="G17" s="140"/>
      <c r="H17" s="140"/>
      <c r="I17" s="140"/>
      <c r="J17" s="50" t="s">
        <v>59</v>
      </c>
      <c r="K17" s="50" t="s">
        <v>59</v>
      </c>
      <c r="L17" s="50" t="s">
        <v>59</v>
      </c>
      <c r="M17" s="64">
        <f>SUM(M18:M35)</f>
        <v>0</v>
      </c>
      <c r="N17" s="17"/>
      <c r="AI17" s="58" t="s">
        <v>62</v>
      </c>
      <c r="AS17" s="68">
        <f>SUM(AJ18:AJ35)</f>
        <v>0</v>
      </c>
      <c r="AT17" s="68">
        <f>SUM(AK18:AK35)</f>
        <v>0</v>
      </c>
      <c r="AU17" s="68">
        <f>SUM(AL18:AL35)</f>
        <v>0</v>
      </c>
    </row>
    <row r="18" spans="1:64" ht="12.75">
      <c r="A18" s="38" t="s">
        <v>81</v>
      </c>
      <c r="B18" s="45" t="s">
        <v>62</v>
      </c>
      <c r="C18" s="45" t="s">
        <v>373</v>
      </c>
      <c r="D18" s="141" t="s">
        <v>807</v>
      </c>
      <c r="E18" s="142"/>
      <c r="F18" s="142"/>
      <c r="G18" s="142"/>
      <c r="H18" s="142"/>
      <c r="I18" s="142"/>
      <c r="J18" s="45" t="s">
        <v>972</v>
      </c>
      <c r="K18" s="74">
        <f>'Stavební rozpočet'!K476</f>
        <v>714</v>
      </c>
      <c r="L18" s="53">
        <f>'Stavební rozpočet'!L476</f>
        <v>0</v>
      </c>
      <c r="M18" s="65">
        <f>K18*L18</f>
        <v>0</v>
      </c>
      <c r="N18" s="17"/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58" t="s">
        <v>62</v>
      </c>
      <c r="AJ18" s="53">
        <f>IF(AN18=0,M18,0)</f>
        <v>0</v>
      </c>
      <c r="AK18" s="53">
        <f>IF(AN18=15,M18,0)</f>
        <v>0</v>
      </c>
      <c r="AL18" s="53">
        <f>IF(AN18=21,M18,0)</f>
        <v>0</v>
      </c>
      <c r="AN18" s="33">
        <v>21</v>
      </c>
      <c r="AO18" s="33">
        <f>L18*0.815499228789901</f>
        <v>0</v>
      </c>
      <c r="AP18" s="33">
        <f>L18*(1-0.815499228789901)</f>
        <v>0</v>
      </c>
      <c r="AQ18" s="59" t="s">
        <v>80</v>
      </c>
      <c r="AV18" s="33">
        <f>AW18+AX18</f>
        <v>0</v>
      </c>
      <c r="AW18" s="33">
        <f>K18*AO18</f>
        <v>0</v>
      </c>
      <c r="AX18" s="33">
        <f>K18*AP18</f>
        <v>0</v>
      </c>
      <c r="AY18" s="61" t="s">
        <v>1013</v>
      </c>
      <c r="AZ18" s="61" t="s">
        <v>1028</v>
      </c>
      <c r="BA18" s="58" t="s">
        <v>1038</v>
      </c>
      <c r="BC18" s="33">
        <f>AW18+AX18</f>
        <v>0</v>
      </c>
      <c r="BD18" s="33">
        <f>L18/(100-BE18)*100</f>
        <v>0</v>
      </c>
      <c r="BE18" s="33">
        <v>0</v>
      </c>
      <c r="BF18" s="33">
        <f>18</f>
        <v>18</v>
      </c>
      <c r="BH18" s="53">
        <f>K18*AO18</f>
        <v>0</v>
      </c>
      <c r="BI18" s="53">
        <f>K18*AP18</f>
        <v>0</v>
      </c>
      <c r="BJ18" s="53">
        <f>K18*L18</f>
        <v>0</v>
      </c>
      <c r="BK18" s="53" t="s">
        <v>1046</v>
      </c>
      <c r="BL18" s="33">
        <v>56</v>
      </c>
    </row>
    <row r="19" spans="1:14" ht="12.75">
      <c r="A19" s="17"/>
      <c r="D19" s="143" t="s">
        <v>804</v>
      </c>
      <c r="E19" s="144"/>
      <c r="F19" s="144"/>
      <c r="G19" s="144"/>
      <c r="H19" s="144"/>
      <c r="I19" s="144"/>
      <c r="K19" s="75">
        <v>879</v>
      </c>
      <c r="M19" s="14"/>
      <c r="N19" s="17"/>
    </row>
    <row r="20" spans="1:14" ht="12.75">
      <c r="A20" s="17"/>
      <c r="D20" s="143" t="s">
        <v>805</v>
      </c>
      <c r="E20" s="144"/>
      <c r="F20" s="144"/>
      <c r="G20" s="144"/>
      <c r="H20" s="144"/>
      <c r="I20" s="144"/>
      <c r="K20" s="75">
        <v>-165</v>
      </c>
      <c r="M20" s="14"/>
      <c r="N20" s="17"/>
    </row>
    <row r="21" spans="1:64" ht="12.75">
      <c r="A21" s="38" t="s">
        <v>82</v>
      </c>
      <c r="B21" s="45" t="s">
        <v>62</v>
      </c>
      <c r="C21" s="45" t="s">
        <v>374</v>
      </c>
      <c r="D21" s="141" t="s">
        <v>808</v>
      </c>
      <c r="E21" s="142"/>
      <c r="F21" s="142"/>
      <c r="G21" s="142"/>
      <c r="H21" s="142"/>
      <c r="I21" s="142"/>
      <c r="J21" s="45" t="s">
        <v>972</v>
      </c>
      <c r="K21" s="74">
        <f>'Stavební rozpočet'!K479</f>
        <v>714</v>
      </c>
      <c r="L21" s="53">
        <f>'Stavební rozpočet'!L479</f>
        <v>0</v>
      </c>
      <c r="M21" s="65">
        <f>K21*L21</f>
        <v>0</v>
      </c>
      <c r="N21" s="17"/>
      <c r="Z21" s="33">
        <f>IF(AQ21="5",BJ21,0)</f>
        <v>0</v>
      </c>
      <c r="AB21" s="33">
        <f>IF(AQ21="1",BH21,0)</f>
        <v>0</v>
      </c>
      <c r="AC21" s="33">
        <f>IF(AQ21="1",BI21,0)</f>
        <v>0</v>
      </c>
      <c r="AD21" s="33">
        <f>IF(AQ21="7",BH21,0)</f>
        <v>0</v>
      </c>
      <c r="AE21" s="33">
        <f>IF(AQ21="7",BI21,0)</f>
        <v>0</v>
      </c>
      <c r="AF21" s="33">
        <f>IF(AQ21="2",BH21,0)</f>
        <v>0</v>
      </c>
      <c r="AG21" s="33">
        <f>IF(AQ21="2",BI21,0)</f>
        <v>0</v>
      </c>
      <c r="AH21" s="33">
        <f>IF(AQ21="0",BJ21,0)</f>
        <v>0</v>
      </c>
      <c r="AI21" s="58" t="s">
        <v>62</v>
      </c>
      <c r="AJ21" s="53">
        <f>IF(AN21=0,M21,0)</f>
        <v>0</v>
      </c>
      <c r="AK21" s="53">
        <f>IF(AN21=15,M21,0)</f>
        <v>0</v>
      </c>
      <c r="AL21" s="53">
        <f>IF(AN21=21,M21,0)</f>
        <v>0</v>
      </c>
      <c r="AN21" s="33">
        <v>21</v>
      </c>
      <c r="AO21" s="33">
        <f>L21*0.719634890664347</f>
        <v>0</v>
      </c>
      <c r="AP21" s="33">
        <f>L21*(1-0.719634890664347)</f>
        <v>0</v>
      </c>
      <c r="AQ21" s="59" t="s">
        <v>80</v>
      </c>
      <c r="AV21" s="33">
        <f>AW21+AX21</f>
        <v>0</v>
      </c>
      <c r="AW21" s="33">
        <f>K21*AO21</f>
        <v>0</v>
      </c>
      <c r="AX21" s="33">
        <f>K21*AP21</f>
        <v>0</v>
      </c>
      <c r="AY21" s="61" t="s">
        <v>1013</v>
      </c>
      <c r="AZ21" s="61" t="s">
        <v>1028</v>
      </c>
      <c r="BA21" s="58" t="s">
        <v>1038</v>
      </c>
      <c r="BC21" s="33">
        <f>AW21+AX21</f>
        <v>0</v>
      </c>
      <c r="BD21" s="33">
        <f>L21/(100-BE21)*100</f>
        <v>0</v>
      </c>
      <c r="BE21" s="33">
        <v>0</v>
      </c>
      <c r="BF21" s="33">
        <f>21</f>
        <v>21</v>
      </c>
      <c r="BH21" s="53">
        <f>K21*AO21</f>
        <v>0</v>
      </c>
      <c r="BI21" s="53">
        <f>K21*AP21</f>
        <v>0</v>
      </c>
      <c r="BJ21" s="53">
        <f>K21*L21</f>
        <v>0</v>
      </c>
      <c r="BK21" s="53" t="s">
        <v>1046</v>
      </c>
      <c r="BL21" s="33">
        <v>56</v>
      </c>
    </row>
    <row r="22" spans="1:14" ht="12.75">
      <c r="A22" s="17"/>
      <c r="C22" s="48" t="s">
        <v>269</v>
      </c>
      <c r="D22" s="145" t="s">
        <v>809</v>
      </c>
      <c r="E22" s="146"/>
      <c r="F22" s="146"/>
      <c r="G22" s="146"/>
      <c r="H22" s="146"/>
      <c r="I22" s="146"/>
      <c r="J22" s="146"/>
      <c r="K22" s="146"/>
      <c r="L22" s="146"/>
      <c r="M22" s="147"/>
      <c r="N22" s="17"/>
    </row>
    <row r="23" spans="1:14" ht="12.75">
      <c r="A23" s="17"/>
      <c r="D23" s="143" t="s">
        <v>804</v>
      </c>
      <c r="E23" s="144"/>
      <c r="F23" s="144"/>
      <c r="G23" s="144"/>
      <c r="H23" s="144"/>
      <c r="I23" s="144"/>
      <c r="K23" s="75">
        <v>879</v>
      </c>
      <c r="M23" s="14"/>
      <c r="N23" s="17"/>
    </row>
    <row r="24" spans="1:14" ht="12.75">
      <c r="A24" s="17"/>
      <c r="D24" s="143" t="s">
        <v>805</v>
      </c>
      <c r="E24" s="144"/>
      <c r="F24" s="144"/>
      <c r="G24" s="144"/>
      <c r="H24" s="144"/>
      <c r="I24" s="144"/>
      <c r="K24" s="75">
        <v>-165</v>
      </c>
      <c r="M24" s="14"/>
      <c r="N24" s="17"/>
    </row>
    <row r="25" spans="1:64" ht="12.75">
      <c r="A25" s="38" t="s">
        <v>83</v>
      </c>
      <c r="B25" s="45" t="s">
        <v>62</v>
      </c>
      <c r="C25" s="45" t="s">
        <v>375</v>
      </c>
      <c r="D25" s="141" t="s">
        <v>810</v>
      </c>
      <c r="E25" s="142"/>
      <c r="F25" s="142"/>
      <c r="G25" s="142"/>
      <c r="H25" s="142"/>
      <c r="I25" s="142"/>
      <c r="J25" s="45" t="s">
        <v>972</v>
      </c>
      <c r="K25" s="74">
        <f>'Stavební rozpočet'!K483</f>
        <v>714</v>
      </c>
      <c r="L25" s="53">
        <f>'Stavební rozpočet'!L483</f>
        <v>0</v>
      </c>
      <c r="M25" s="65">
        <f>K25*L25</f>
        <v>0</v>
      </c>
      <c r="N25" s="17"/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58" t="s">
        <v>62</v>
      </c>
      <c r="AJ25" s="53">
        <f>IF(AN25=0,M25,0)</f>
        <v>0</v>
      </c>
      <c r="AK25" s="53">
        <f>IF(AN25=15,M25,0)</f>
        <v>0</v>
      </c>
      <c r="AL25" s="53">
        <f>IF(AN25=21,M25,0)</f>
        <v>0</v>
      </c>
      <c r="AN25" s="33">
        <v>21</v>
      </c>
      <c r="AO25" s="33">
        <f>L25*0.862479784366577</f>
        <v>0</v>
      </c>
      <c r="AP25" s="33">
        <f>L25*(1-0.862479784366577)</f>
        <v>0</v>
      </c>
      <c r="AQ25" s="59" t="s">
        <v>80</v>
      </c>
      <c r="AV25" s="33">
        <f>AW25+AX25</f>
        <v>0</v>
      </c>
      <c r="AW25" s="33">
        <f>K25*AO25</f>
        <v>0</v>
      </c>
      <c r="AX25" s="33">
        <f>K25*AP25</f>
        <v>0</v>
      </c>
      <c r="AY25" s="61" t="s">
        <v>1013</v>
      </c>
      <c r="AZ25" s="61" t="s">
        <v>1028</v>
      </c>
      <c r="BA25" s="58" t="s">
        <v>1038</v>
      </c>
      <c r="BC25" s="33">
        <f>AW25+AX25</f>
        <v>0</v>
      </c>
      <c r="BD25" s="33">
        <f>L25/(100-BE25)*100</f>
        <v>0</v>
      </c>
      <c r="BE25" s="33">
        <v>0</v>
      </c>
      <c r="BF25" s="33">
        <f>25</f>
        <v>25</v>
      </c>
      <c r="BH25" s="53">
        <f>K25*AO25</f>
        <v>0</v>
      </c>
      <c r="BI25" s="53">
        <f>K25*AP25</f>
        <v>0</v>
      </c>
      <c r="BJ25" s="53">
        <f>K25*L25</f>
        <v>0</v>
      </c>
      <c r="BK25" s="53" t="s">
        <v>1046</v>
      </c>
      <c r="BL25" s="33">
        <v>56</v>
      </c>
    </row>
    <row r="26" spans="1:14" ht="12.75">
      <c r="A26" s="17"/>
      <c r="C26" s="48" t="s">
        <v>269</v>
      </c>
      <c r="D26" s="145" t="s">
        <v>811</v>
      </c>
      <c r="E26" s="146"/>
      <c r="F26" s="146"/>
      <c r="G26" s="146"/>
      <c r="H26" s="146"/>
      <c r="I26" s="146"/>
      <c r="J26" s="146"/>
      <c r="K26" s="146"/>
      <c r="L26" s="146"/>
      <c r="M26" s="147"/>
      <c r="N26" s="17"/>
    </row>
    <row r="27" spans="1:14" ht="12.75">
      <c r="A27" s="17"/>
      <c r="D27" s="143" t="s">
        <v>804</v>
      </c>
      <c r="E27" s="144"/>
      <c r="F27" s="144"/>
      <c r="G27" s="144"/>
      <c r="H27" s="144"/>
      <c r="I27" s="144"/>
      <c r="K27" s="75">
        <v>879</v>
      </c>
      <c r="M27" s="14"/>
      <c r="N27" s="17"/>
    </row>
    <row r="28" spans="1:14" ht="12.75">
      <c r="A28" s="17"/>
      <c r="D28" s="143" t="s">
        <v>805</v>
      </c>
      <c r="E28" s="144"/>
      <c r="F28" s="144"/>
      <c r="G28" s="144"/>
      <c r="H28" s="144"/>
      <c r="I28" s="144"/>
      <c r="K28" s="75">
        <v>-165</v>
      </c>
      <c r="M28" s="14"/>
      <c r="N28" s="17"/>
    </row>
    <row r="29" spans="1:64" ht="12.75">
      <c r="A29" s="38" t="s">
        <v>84</v>
      </c>
      <c r="B29" s="45" t="s">
        <v>62</v>
      </c>
      <c r="C29" s="45" t="s">
        <v>376</v>
      </c>
      <c r="D29" s="141" t="s">
        <v>812</v>
      </c>
      <c r="E29" s="142"/>
      <c r="F29" s="142"/>
      <c r="G29" s="142"/>
      <c r="H29" s="142"/>
      <c r="I29" s="142"/>
      <c r="J29" s="45" t="s">
        <v>972</v>
      </c>
      <c r="K29" s="74">
        <f>'Stavební rozpočet'!K487</f>
        <v>714</v>
      </c>
      <c r="L29" s="53">
        <f>'Stavební rozpočet'!L487</f>
        <v>0</v>
      </c>
      <c r="M29" s="65">
        <f>K29*L29</f>
        <v>0</v>
      </c>
      <c r="N29" s="17"/>
      <c r="Z29" s="33">
        <f>IF(AQ29="5",BJ29,0)</f>
        <v>0</v>
      </c>
      <c r="AB29" s="33">
        <f>IF(AQ29="1",BH29,0)</f>
        <v>0</v>
      </c>
      <c r="AC29" s="33">
        <f>IF(AQ29="1",BI29,0)</f>
        <v>0</v>
      </c>
      <c r="AD29" s="33">
        <f>IF(AQ29="7",BH29,0)</f>
        <v>0</v>
      </c>
      <c r="AE29" s="33">
        <f>IF(AQ29="7",BI29,0)</f>
        <v>0</v>
      </c>
      <c r="AF29" s="33">
        <f>IF(AQ29="2",BH29,0)</f>
        <v>0</v>
      </c>
      <c r="AG29" s="33">
        <f>IF(AQ29="2",BI29,0)</f>
        <v>0</v>
      </c>
      <c r="AH29" s="33">
        <f>IF(AQ29="0",BJ29,0)</f>
        <v>0</v>
      </c>
      <c r="AI29" s="58" t="s">
        <v>62</v>
      </c>
      <c r="AJ29" s="53">
        <f>IF(AN29=0,M29,0)</f>
        <v>0</v>
      </c>
      <c r="AK29" s="53">
        <f>IF(AN29=15,M29,0)</f>
        <v>0</v>
      </c>
      <c r="AL29" s="53">
        <f>IF(AN29=21,M29,0)</f>
        <v>0</v>
      </c>
      <c r="AN29" s="33">
        <v>21</v>
      </c>
      <c r="AO29" s="33">
        <f>L29*0.863833718244804</f>
        <v>0</v>
      </c>
      <c r="AP29" s="33">
        <f>L29*(1-0.863833718244804)</f>
        <v>0</v>
      </c>
      <c r="AQ29" s="59" t="s">
        <v>80</v>
      </c>
      <c r="AV29" s="33">
        <f>AW29+AX29</f>
        <v>0</v>
      </c>
      <c r="AW29" s="33">
        <f>K29*AO29</f>
        <v>0</v>
      </c>
      <c r="AX29" s="33">
        <f>K29*AP29</f>
        <v>0</v>
      </c>
      <c r="AY29" s="61" t="s">
        <v>1013</v>
      </c>
      <c r="AZ29" s="61" t="s">
        <v>1028</v>
      </c>
      <c r="BA29" s="58" t="s">
        <v>1038</v>
      </c>
      <c r="BC29" s="33">
        <f>AW29+AX29</f>
        <v>0</v>
      </c>
      <c r="BD29" s="33">
        <f>L29/(100-BE29)*100</f>
        <v>0</v>
      </c>
      <c r="BE29" s="33">
        <v>0</v>
      </c>
      <c r="BF29" s="33">
        <f>29</f>
        <v>29</v>
      </c>
      <c r="BH29" s="53">
        <f>K29*AO29</f>
        <v>0</v>
      </c>
      <c r="BI29" s="53">
        <f>K29*AP29</f>
        <v>0</v>
      </c>
      <c r="BJ29" s="53">
        <f>K29*L29</f>
        <v>0</v>
      </c>
      <c r="BK29" s="53" t="s">
        <v>1046</v>
      </c>
      <c r="BL29" s="33">
        <v>56</v>
      </c>
    </row>
    <row r="30" spans="1:14" ht="12.75">
      <c r="A30" s="17"/>
      <c r="C30" s="48" t="s">
        <v>269</v>
      </c>
      <c r="D30" s="145" t="s">
        <v>811</v>
      </c>
      <c r="E30" s="146"/>
      <c r="F30" s="146"/>
      <c r="G30" s="146"/>
      <c r="H30" s="146"/>
      <c r="I30" s="146"/>
      <c r="J30" s="146"/>
      <c r="K30" s="146"/>
      <c r="L30" s="146"/>
      <c r="M30" s="147"/>
      <c r="N30" s="17"/>
    </row>
    <row r="31" spans="1:14" ht="12.75">
      <c r="A31" s="17"/>
      <c r="D31" s="143" t="s">
        <v>804</v>
      </c>
      <c r="E31" s="144"/>
      <c r="F31" s="144"/>
      <c r="G31" s="144"/>
      <c r="H31" s="144"/>
      <c r="I31" s="144"/>
      <c r="K31" s="75">
        <v>879</v>
      </c>
      <c r="M31" s="14"/>
      <c r="N31" s="17"/>
    </row>
    <row r="32" spans="1:14" ht="12.75">
      <c r="A32" s="17"/>
      <c r="D32" s="143" t="s">
        <v>805</v>
      </c>
      <c r="E32" s="144"/>
      <c r="F32" s="144"/>
      <c r="G32" s="144"/>
      <c r="H32" s="144"/>
      <c r="I32" s="144"/>
      <c r="K32" s="75">
        <v>-165</v>
      </c>
      <c r="M32" s="14"/>
      <c r="N32" s="17"/>
    </row>
    <row r="33" spans="1:64" ht="12.75">
      <c r="A33" s="38" t="s">
        <v>85</v>
      </c>
      <c r="B33" s="45" t="s">
        <v>62</v>
      </c>
      <c r="C33" s="45" t="s">
        <v>377</v>
      </c>
      <c r="D33" s="141" t="s">
        <v>813</v>
      </c>
      <c r="E33" s="142"/>
      <c r="F33" s="142"/>
      <c r="G33" s="142"/>
      <c r="H33" s="142"/>
      <c r="I33" s="142"/>
      <c r="J33" s="45" t="s">
        <v>972</v>
      </c>
      <c r="K33" s="74">
        <f>'Stavební rozpočet'!K491</f>
        <v>165</v>
      </c>
      <c r="L33" s="53">
        <f>'Stavební rozpočet'!L491</f>
        <v>0</v>
      </c>
      <c r="M33" s="65">
        <f>K33*L33</f>
        <v>0</v>
      </c>
      <c r="N33" s="17"/>
      <c r="Z33" s="33">
        <f>IF(AQ33="5",BJ33,0)</f>
        <v>0</v>
      </c>
      <c r="AB33" s="33">
        <f>IF(AQ33="1",BH33,0)</f>
        <v>0</v>
      </c>
      <c r="AC33" s="33">
        <f>IF(AQ33="1",BI33,0)</f>
        <v>0</v>
      </c>
      <c r="AD33" s="33">
        <f>IF(AQ33="7",BH33,0)</f>
        <v>0</v>
      </c>
      <c r="AE33" s="33">
        <f>IF(AQ33="7",BI33,0)</f>
        <v>0</v>
      </c>
      <c r="AF33" s="33">
        <f>IF(AQ33="2",BH33,0)</f>
        <v>0</v>
      </c>
      <c r="AG33" s="33">
        <f>IF(AQ33="2",BI33,0)</f>
        <v>0</v>
      </c>
      <c r="AH33" s="33">
        <f>IF(AQ33="0",BJ33,0)</f>
        <v>0</v>
      </c>
      <c r="AI33" s="58" t="s">
        <v>62</v>
      </c>
      <c r="AJ33" s="53">
        <f>IF(AN33=0,M33,0)</f>
        <v>0</v>
      </c>
      <c r="AK33" s="53">
        <f>IF(AN33=15,M33,0)</f>
        <v>0</v>
      </c>
      <c r="AL33" s="53">
        <f>IF(AN33=21,M33,0)</f>
        <v>0</v>
      </c>
      <c r="AN33" s="33">
        <v>21</v>
      </c>
      <c r="AO33" s="33">
        <f>L33*0</f>
        <v>0</v>
      </c>
      <c r="AP33" s="33">
        <f>L33*(1-0)</f>
        <v>0</v>
      </c>
      <c r="AQ33" s="59" t="s">
        <v>80</v>
      </c>
      <c r="AV33" s="33">
        <f>AW33+AX33</f>
        <v>0</v>
      </c>
      <c r="AW33" s="33">
        <f>K33*AO33</f>
        <v>0</v>
      </c>
      <c r="AX33" s="33">
        <f>K33*AP33</f>
        <v>0</v>
      </c>
      <c r="AY33" s="61" t="s">
        <v>1013</v>
      </c>
      <c r="AZ33" s="61" t="s">
        <v>1028</v>
      </c>
      <c r="BA33" s="58" t="s">
        <v>1038</v>
      </c>
      <c r="BC33" s="33">
        <f>AW33+AX33</f>
        <v>0</v>
      </c>
      <c r="BD33" s="33">
        <f>L33/(100-BE33)*100</f>
        <v>0</v>
      </c>
      <c r="BE33" s="33">
        <v>0</v>
      </c>
      <c r="BF33" s="33">
        <f>33</f>
        <v>33</v>
      </c>
      <c r="BH33" s="53">
        <f>K33*AO33</f>
        <v>0</v>
      </c>
      <c r="BI33" s="53">
        <f>K33*AP33</f>
        <v>0</v>
      </c>
      <c r="BJ33" s="53">
        <f>K33*L33</f>
        <v>0</v>
      </c>
      <c r="BK33" s="53" t="s">
        <v>1046</v>
      </c>
      <c r="BL33" s="33">
        <v>56</v>
      </c>
    </row>
    <row r="34" spans="1:14" ht="12.75">
      <c r="A34" s="17"/>
      <c r="D34" s="143" t="s">
        <v>814</v>
      </c>
      <c r="E34" s="144"/>
      <c r="F34" s="144"/>
      <c r="G34" s="144"/>
      <c r="H34" s="144"/>
      <c r="I34" s="144"/>
      <c r="K34" s="75">
        <v>165</v>
      </c>
      <c r="M34" s="14"/>
      <c r="N34" s="17"/>
    </row>
    <row r="35" spans="1:64" ht="12.75">
      <c r="A35" s="39" t="s">
        <v>86</v>
      </c>
      <c r="B35" s="46" t="s">
        <v>62</v>
      </c>
      <c r="C35" s="46" t="s">
        <v>378</v>
      </c>
      <c r="D35" s="148" t="s">
        <v>815</v>
      </c>
      <c r="E35" s="149"/>
      <c r="F35" s="149"/>
      <c r="G35" s="149"/>
      <c r="H35" s="149"/>
      <c r="I35" s="149"/>
      <c r="J35" s="46" t="s">
        <v>972</v>
      </c>
      <c r="K35" s="78">
        <f>'Stavební rozpočet'!K493</f>
        <v>181.5</v>
      </c>
      <c r="L35" s="54">
        <f>'Stavební rozpočet'!L493</f>
        <v>0</v>
      </c>
      <c r="M35" s="66">
        <f>K35*L35</f>
        <v>0</v>
      </c>
      <c r="N35" s="17"/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58" t="s">
        <v>62</v>
      </c>
      <c r="AJ35" s="54">
        <f>IF(AN35=0,M35,0)</f>
        <v>0</v>
      </c>
      <c r="AK35" s="54">
        <f>IF(AN35=15,M35,0)</f>
        <v>0</v>
      </c>
      <c r="AL35" s="54">
        <f>IF(AN35=21,M35,0)</f>
        <v>0</v>
      </c>
      <c r="AN35" s="33">
        <v>21</v>
      </c>
      <c r="AO35" s="33">
        <f>L35*1</f>
        <v>0</v>
      </c>
      <c r="AP35" s="33">
        <f>L35*(1-1)</f>
        <v>0</v>
      </c>
      <c r="AQ35" s="60" t="s">
        <v>80</v>
      </c>
      <c r="AV35" s="33">
        <f>AW35+AX35</f>
        <v>0</v>
      </c>
      <c r="AW35" s="33">
        <f>K35*AO35</f>
        <v>0</v>
      </c>
      <c r="AX35" s="33">
        <f>K35*AP35</f>
        <v>0</v>
      </c>
      <c r="AY35" s="61" t="s">
        <v>1013</v>
      </c>
      <c r="AZ35" s="61" t="s">
        <v>1028</v>
      </c>
      <c r="BA35" s="58" t="s">
        <v>1038</v>
      </c>
      <c r="BC35" s="33">
        <f>AW35+AX35</f>
        <v>0</v>
      </c>
      <c r="BD35" s="33">
        <f>L35/(100-BE35)*100</f>
        <v>0</v>
      </c>
      <c r="BE35" s="33">
        <v>0</v>
      </c>
      <c r="BF35" s="33">
        <f>35</f>
        <v>35</v>
      </c>
      <c r="BH35" s="54">
        <f>K35*AO35</f>
        <v>0</v>
      </c>
      <c r="BI35" s="54">
        <f>K35*AP35</f>
        <v>0</v>
      </c>
      <c r="BJ35" s="54">
        <f>K35*L35</f>
        <v>0</v>
      </c>
      <c r="BK35" s="54" t="s">
        <v>1047</v>
      </c>
      <c r="BL35" s="33">
        <v>56</v>
      </c>
    </row>
    <row r="36" spans="1:14" ht="12.75">
      <c r="A36" s="17"/>
      <c r="D36" s="143" t="s">
        <v>816</v>
      </c>
      <c r="E36" s="144"/>
      <c r="F36" s="144"/>
      <c r="G36" s="144"/>
      <c r="H36" s="144"/>
      <c r="I36" s="144"/>
      <c r="K36" s="75">
        <v>165</v>
      </c>
      <c r="M36" s="14"/>
      <c r="N36" s="17"/>
    </row>
    <row r="37" spans="1:14" ht="12.75">
      <c r="A37" s="17"/>
      <c r="D37" s="143" t="s">
        <v>817</v>
      </c>
      <c r="E37" s="144"/>
      <c r="F37" s="144"/>
      <c r="G37" s="144"/>
      <c r="H37" s="144"/>
      <c r="I37" s="144"/>
      <c r="K37" s="75">
        <v>16.5</v>
      </c>
      <c r="M37" s="14"/>
      <c r="N37" s="17"/>
    </row>
    <row r="38" spans="1:47" ht="12.75">
      <c r="A38" s="37"/>
      <c r="B38" s="44" t="s">
        <v>62</v>
      </c>
      <c r="C38" s="44" t="s">
        <v>138</v>
      </c>
      <c r="D38" s="139" t="s">
        <v>636</v>
      </c>
      <c r="E38" s="140"/>
      <c r="F38" s="140"/>
      <c r="G38" s="140"/>
      <c r="H38" s="140"/>
      <c r="I38" s="140"/>
      <c r="J38" s="50" t="s">
        <v>59</v>
      </c>
      <c r="K38" s="50" t="s">
        <v>59</v>
      </c>
      <c r="L38" s="50" t="s">
        <v>59</v>
      </c>
      <c r="M38" s="64">
        <f>SUM(M39:M44)</f>
        <v>0</v>
      </c>
      <c r="N38" s="17"/>
      <c r="AI38" s="58" t="s">
        <v>62</v>
      </c>
      <c r="AS38" s="68">
        <f>SUM(AJ39:AJ44)</f>
        <v>0</v>
      </c>
      <c r="AT38" s="68">
        <f>SUM(AK39:AK44)</f>
        <v>0</v>
      </c>
      <c r="AU38" s="68">
        <f>SUM(AL39:AL44)</f>
        <v>0</v>
      </c>
    </row>
    <row r="39" spans="1:64" ht="12.75">
      <c r="A39" s="38" t="s">
        <v>87</v>
      </c>
      <c r="B39" s="45" t="s">
        <v>62</v>
      </c>
      <c r="C39" s="45" t="s">
        <v>379</v>
      </c>
      <c r="D39" s="141" t="s">
        <v>818</v>
      </c>
      <c r="E39" s="142"/>
      <c r="F39" s="142"/>
      <c r="G39" s="142"/>
      <c r="H39" s="142"/>
      <c r="I39" s="142"/>
      <c r="J39" s="45" t="s">
        <v>972</v>
      </c>
      <c r="K39" s="74">
        <f>'Stavební rozpočet'!K497</f>
        <v>879</v>
      </c>
      <c r="L39" s="53">
        <f>'Stavební rozpočet'!L497</f>
        <v>0</v>
      </c>
      <c r="M39" s="65">
        <f>K39*L39</f>
        <v>0</v>
      </c>
      <c r="N39" s="17"/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58" t="s">
        <v>62</v>
      </c>
      <c r="AJ39" s="53">
        <f>IF(AN39=0,M39,0)</f>
        <v>0</v>
      </c>
      <c r="AK39" s="53">
        <f>IF(AN39=15,M39,0)</f>
        <v>0</v>
      </c>
      <c r="AL39" s="53">
        <f>IF(AN39=21,M39,0)</f>
        <v>0</v>
      </c>
      <c r="AN39" s="33">
        <v>21</v>
      </c>
      <c r="AO39" s="33">
        <f>L39*0.148384754990926</f>
        <v>0</v>
      </c>
      <c r="AP39" s="33">
        <f>L39*(1-0.148384754990926)</f>
        <v>0</v>
      </c>
      <c r="AQ39" s="59" t="s">
        <v>80</v>
      </c>
      <c r="AV39" s="33">
        <f>AW39+AX39</f>
        <v>0</v>
      </c>
      <c r="AW39" s="33">
        <f>K39*AO39</f>
        <v>0</v>
      </c>
      <c r="AX39" s="33">
        <f>K39*AP39</f>
        <v>0</v>
      </c>
      <c r="AY39" s="61" t="s">
        <v>1000</v>
      </c>
      <c r="AZ39" s="61" t="s">
        <v>1028</v>
      </c>
      <c r="BA39" s="58" t="s">
        <v>1038</v>
      </c>
      <c r="BC39" s="33">
        <f>AW39+AX39</f>
        <v>0</v>
      </c>
      <c r="BD39" s="33">
        <f>L39/(100-BE39)*100</f>
        <v>0</v>
      </c>
      <c r="BE39" s="33">
        <v>0</v>
      </c>
      <c r="BF39" s="33">
        <f>39</f>
        <v>39</v>
      </c>
      <c r="BH39" s="53">
        <f>K39*AO39</f>
        <v>0</v>
      </c>
      <c r="BI39" s="53">
        <f>K39*AP39</f>
        <v>0</v>
      </c>
      <c r="BJ39" s="53">
        <f>K39*L39</f>
        <v>0</v>
      </c>
      <c r="BK39" s="53" t="s">
        <v>1046</v>
      </c>
      <c r="BL39" s="33">
        <v>59</v>
      </c>
    </row>
    <row r="40" spans="1:14" ht="12.75">
      <c r="A40" s="17"/>
      <c r="D40" s="143" t="s">
        <v>819</v>
      </c>
      <c r="E40" s="144"/>
      <c r="F40" s="144"/>
      <c r="G40" s="144"/>
      <c r="H40" s="144"/>
      <c r="I40" s="144"/>
      <c r="K40" s="75">
        <v>287</v>
      </c>
      <c r="M40" s="14"/>
      <c r="N40" s="17"/>
    </row>
    <row r="41" spans="1:14" ht="12.75">
      <c r="A41" s="17"/>
      <c r="D41" s="143" t="s">
        <v>820</v>
      </c>
      <c r="E41" s="144"/>
      <c r="F41" s="144"/>
      <c r="G41" s="144"/>
      <c r="H41" s="144"/>
      <c r="I41" s="144"/>
      <c r="K41" s="75">
        <v>154</v>
      </c>
      <c r="M41" s="14"/>
      <c r="N41" s="17"/>
    </row>
    <row r="42" spans="1:14" ht="12.75">
      <c r="A42" s="17"/>
      <c r="D42" s="143" t="s">
        <v>821</v>
      </c>
      <c r="E42" s="144"/>
      <c r="F42" s="144"/>
      <c r="G42" s="144"/>
      <c r="H42" s="144"/>
      <c r="I42" s="144"/>
      <c r="K42" s="75">
        <v>219</v>
      </c>
      <c r="M42" s="14"/>
      <c r="N42" s="17"/>
    </row>
    <row r="43" spans="1:14" ht="12.75">
      <c r="A43" s="17"/>
      <c r="D43" s="143" t="s">
        <v>822</v>
      </c>
      <c r="E43" s="144"/>
      <c r="F43" s="144"/>
      <c r="G43" s="144"/>
      <c r="H43" s="144"/>
      <c r="I43" s="144"/>
      <c r="K43" s="75">
        <v>219</v>
      </c>
      <c r="M43" s="14"/>
      <c r="N43" s="17"/>
    </row>
    <row r="44" spans="1:64" ht="12.75">
      <c r="A44" s="39" t="s">
        <v>88</v>
      </c>
      <c r="B44" s="46" t="s">
        <v>62</v>
      </c>
      <c r="C44" s="46" t="s">
        <v>380</v>
      </c>
      <c r="D44" s="148" t="s">
        <v>823</v>
      </c>
      <c r="E44" s="149"/>
      <c r="F44" s="149"/>
      <c r="G44" s="149"/>
      <c r="H44" s="149"/>
      <c r="I44" s="149"/>
      <c r="J44" s="46" t="s">
        <v>972</v>
      </c>
      <c r="K44" s="78">
        <f>'Stavební rozpočet'!K502</f>
        <v>905.37</v>
      </c>
      <c r="L44" s="54">
        <f>'Stavební rozpočet'!L502</f>
        <v>0</v>
      </c>
      <c r="M44" s="66">
        <f>K44*L44</f>
        <v>0</v>
      </c>
      <c r="N44" s="17"/>
      <c r="Z44" s="33">
        <f>IF(AQ44="5",BJ44,0)</f>
        <v>0</v>
      </c>
      <c r="AB44" s="33">
        <f>IF(AQ44="1",BH44,0)</f>
        <v>0</v>
      </c>
      <c r="AC44" s="33">
        <f>IF(AQ44="1",BI44,0)</f>
        <v>0</v>
      </c>
      <c r="AD44" s="33">
        <f>IF(AQ44="7",BH44,0)</f>
        <v>0</v>
      </c>
      <c r="AE44" s="33">
        <f>IF(AQ44="7",BI44,0)</f>
        <v>0</v>
      </c>
      <c r="AF44" s="33">
        <f>IF(AQ44="2",BH44,0)</f>
        <v>0</v>
      </c>
      <c r="AG44" s="33">
        <f>IF(AQ44="2",BI44,0)</f>
        <v>0</v>
      </c>
      <c r="AH44" s="33">
        <f>IF(AQ44="0",BJ44,0)</f>
        <v>0</v>
      </c>
      <c r="AI44" s="58" t="s">
        <v>62</v>
      </c>
      <c r="AJ44" s="54">
        <f>IF(AN44=0,M44,0)</f>
        <v>0</v>
      </c>
      <c r="AK44" s="54">
        <f>IF(AN44=15,M44,0)</f>
        <v>0</v>
      </c>
      <c r="AL44" s="54">
        <f>IF(AN44=21,M44,0)</f>
        <v>0</v>
      </c>
      <c r="AN44" s="33">
        <v>21</v>
      </c>
      <c r="AO44" s="33">
        <f>L44*1</f>
        <v>0</v>
      </c>
      <c r="AP44" s="33">
        <f>L44*(1-1)</f>
        <v>0</v>
      </c>
      <c r="AQ44" s="60" t="s">
        <v>80</v>
      </c>
      <c r="AV44" s="33">
        <f>AW44+AX44</f>
        <v>0</v>
      </c>
      <c r="AW44" s="33">
        <f>K44*AO44</f>
        <v>0</v>
      </c>
      <c r="AX44" s="33">
        <f>K44*AP44</f>
        <v>0</v>
      </c>
      <c r="AY44" s="61" t="s">
        <v>1000</v>
      </c>
      <c r="AZ44" s="61" t="s">
        <v>1028</v>
      </c>
      <c r="BA44" s="58" t="s">
        <v>1038</v>
      </c>
      <c r="BC44" s="33">
        <f>AW44+AX44</f>
        <v>0</v>
      </c>
      <c r="BD44" s="33">
        <f>L44/(100-BE44)*100</f>
        <v>0</v>
      </c>
      <c r="BE44" s="33">
        <v>0</v>
      </c>
      <c r="BF44" s="33">
        <f>44</f>
        <v>44</v>
      </c>
      <c r="BH44" s="54">
        <f>K44*AO44</f>
        <v>0</v>
      </c>
      <c r="BI44" s="54">
        <f>K44*AP44</f>
        <v>0</v>
      </c>
      <c r="BJ44" s="54">
        <f>K44*L44</f>
        <v>0</v>
      </c>
      <c r="BK44" s="54" t="s">
        <v>1047</v>
      </c>
      <c r="BL44" s="33">
        <v>59</v>
      </c>
    </row>
    <row r="45" spans="1:14" ht="12.75">
      <c r="A45" s="17"/>
      <c r="D45" s="143" t="s">
        <v>824</v>
      </c>
      <c r="E45" s="144"/>
      <c r="F45" s="144"/>
      <c r="G45" s="144"/>
      <c r="H45" s="144"/>
      <c r="I45" s="144"/>
      <c r="K45" s="75">
        <v>879</v>
      </c>
      <c r="M45" s="14"/>
      <c r="N45" s="17"/>
    </row>
    <row r="46" spans="1:14" ht="12.75">
      <c r="A46" s="17"/>
      <c r="D46" s="143" t="s">
        <v>825</v>
      </c>
      <c r="E46" s="144"/>
      <c r="F46" s="144"/>
      <c r="G46" s="144"/>
      <c r="H46" s="144"/>
      <c r="I46" s="144"/>
      <c r="K46" s="75">
        <v>26.37</v>
      </c>
      <c r="M46" s="14"/>
      <c r="N46" s="17"/>
    </row>
    <row r="47" spans="1:47" ht="12.75">
      <c r="A47" s="37"/>
      <c r="B47" s="44" t="s">
        <v>62</v>
      </c>
      <c r="C47" s="44" t="s">
        <v>170</v>
      </c>
      <c r="D47" s="139" t="s">
        <v>761</v>
      </c>
      <c r="E47" s="140"/>
      <c r="F47" s="140"/>
      <c r="G47" s="140"/>
      <c r="H47" s="140"/>
      <c r="I47" s="140"/>
      <c r="J47" s="50" t="s">
        <v>59</v>
      </c>
      <c r="K47" s="50" t="s">
        <v>59</v>
      </c>
      <c r="L47" s="50" t="s">
        <v>59</v>
      </c>
      <c r="M47" s="64">
        <f>SUM(M48:M62)</f>
        <v>0</v>
      </c>
      <c r="N47" s="17"/>
      <c r="AI47" s="58" t="s">
        <v>62</v>
      </c>
      <c r="AS47" s="68">
        <f>SUM(AJ48:AJ62)</f>
        <v>0</v>
      </c>
      <c r="AT47" s="68">
        <f>SUM(AK48:AK62)</f>
        <v>0</v>
      </c>
      <c r="AU47" s="68">
        <f>SUM(AL48:AL62)</f>
        <v>0</v>
      </c>
    </row>
    <row r="48" spans="1:64" ht="12.75">
      <c r="A48" s="38" t="s">
        <v>89</v>
      </c>
      <c r="B48" s="45" t="s">
        <v>62</v>
      </c>
      <c r="C48" s="45" t="s">
        <v>352</v>
      </c>
      <c r="D48" s="141" t="s">
        <v>762</v>
      </c>
      <c r="E48" s="142"/>
      <c r="F48" s="142"/>
      <c r="G48" s="142"/>
      <c r="H48" s="142"/>
      <c r="I48" s="142"/>
      <c r="J48" s="45" t="s">
        <v>968</v>
      </c>
      <c r="K48" s="74">
        <f>'Stavební rozpočet'!K506</f>
        <v>235</v>
      </c>
      <c r="L48" s="53">
        <f>'Stavební rozpočet'!L506</f>
        <v>0</v>
      </c>
      <c r="M48" s="65">
        <f>K48*L48</f>
        <v>0</v>
      </c>
      <c r="N48" s="17"/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58" t="s">
        <v>62</v>
      </c>
      <c r="AJ48" s="53">
        <f>IF(AN48=0,M48,0)</f>
        <v>0</v>
      </c>
      <c r="AK48" s="53">
        <f>IF(AN48=15,M48,0)</f>
        <v>0</v>
      </c>
      <c r="AL48" s="53">
        <f>IF(AN48=21,M48,0)</f>
        <v>0</v>
      </c>
      <c r="AN48" s="33">
        <v>21</v>
      </c>
      <c r="AO48" s="33">
        <f>L48*0.669161603888214</f>
        <v>0</v>
      </c>
      <c r="AP48" s="33">
        <f>L48*(1-0.669161603888214)</f>
        <v>0</v>
      </c>
      <c r="AQ48" s="59" t="s">
        <v>80</v>
      </c>
      <c r="AV48" s="33">
        <f>AW48+AX48</f>
        <v>0</v>
      </c>
      <c r="AW48" s="33">
        <f>K48*AO48</f>
        <v>0</v>
      </c>
      <c r="AX48" s="33">
        <f>K48*AP48</f>
        <v>0</v>
      </c>
      <c r="AY48" s="61" t="s">
        <v>1007</v>
      </c>
      <c r="AZ48" s="61" t="s">
        <v>1029</v>
      </c>
      <c r="BA48" s="58" t="s">
        <v>1038</v>
      </c>
      <c r="BC48" s="33">
        <f>AW48+AX48</f>
        <v>0</v>
      </c>
      <c r="BD48" s="33">
        <f>L48/(100-BE48)*100</f>
        <v>0</v>
      </c>
      <c r="BE48" s="33">
        <v>0</v>
      </c>
      <c r="BF48" s="33">
        <f>48</f>
        <v>48</v>
      </c>
      <c r="BH48" s="53">
        <f>K48*AO48</f>
        <v>0</v>
      </c>
      <c r="BI48" s="53">
        <f>K48*AP48</f>
        <v>0</v>
      </c>
      <c r="BJ48" s="53">
        <f>K48*L48</f>
        <v>0</v>
      </c>
      <c r="BK48" s="53" t="s">
        <v>1046</v>
      </c>
      <c r="BL48" s="33">
        <v>91</v>
      </c>
    </row>
    <row r="49" spans="1:14" ht="12.75">
      <c r="A49" s="17"/>
      <c r="D49" s="143" t="s">
        <v>826</v>
      </c>
      <c r="E49" s="144"/>
      <c r="F49" s="144"/>
      <c r="G49" s="144"/>
      <c r="H49" s="144"/>
      <c r="I49" s="144"/>
      <c r="K49" s="75">
        <v>148</v>
      </c>
      <c r="M49" s="14"/>
      <c r="N49" s="17"/>
    </row>
    <row r="50" spans="1:14" ht="12.75">
      <c r="A50" s="17"/>
      <c r="D50" s="143" t="s">
        <v>827</v>
      </c>
      <c r="E50" s="144"/>
      <c r="F50" s="144"/>
      <c r="G50" s="144"/>
      <c r="H50" s="144"/>
      <c r="I50" s="144"/>
      <c r="K50" s="75">
        <v>87</v>
      </c>
      <c r="M50" s="14"/>
      <c r="N50" s="17"/>
    </row>
    <row r="51" spans="1:64" ht="12.75">
      <c r="A51" s="39" t="s">
        <v>90</v>
      </c>
      <c r="B51" s="46" t="s">
        <v>62</v>
      </c>
      <c r="C51" s="46" t="s">
        <v>353</v>
      </c>
      <c r="D51" s="148" t="s">
        <v>764</v>
      </c>
      <c r="E51" s="149"/>
      <c r="F51" s="149"/>
      <c r="G51" s="149"/>
      <c r="H51" s="149"/>
      <c r="I51" s="149"/>
      <c r="J51" s="46" t="s">
        <v>975</v>
      </c>
      <c r="K51" s="78">
        <f>'Stavební rozpočet'!K509</f>
        <v>152.44</v>
      </c>
      <c r="L51" s="54">
        <f>'Stavební rozpočet'!L509</f>
        <v>0</v>
      </c>
      <c r="M51" s="66">
        <f>K51*L51</f>
        <v>0</v>
      </c>
      <c r="N51" s="17"/>
      <c r="Z51" s="33">
        <f>IF(AQ51="5",BJ51,0)</f>
        <v>0</v>
      </c>
      <c r="AB51" s="33">
        <f>IF(AQ51="1",BH51,0)</f>
        <v>0</v>
      </c>
      <c r="AC51" s="33">
        <f>IF(AQ51="1",BI51,0)</f>
        <v>0</v>
      </c>
      <c r="AD51" s="33">
        <f>IF(AQ51="7",BH51,0)</f>
        <v>0</v>
      </c>
      <c r="AE51" s="33">
        <f>IF(AQ51="7",BI51,0)</f>
        <v>0</v>
      </c>
      <c r="AF51" s="33">
        <f>IF(AQ51="2",BH51,0)</f>
        <v>0</v>
      </c>
      <c r="AG51" s="33">
        <f>IF(AQ51="2",BI51,0)</f>
        <v>0</v>
      </c>
      <c r="AH51" s="33">
        <f>IF(AQ51="0",BJ51,0)</f>
        <v>0</v>
      </c>
      <c r="AI51" s="58" t="s">
        <v>62</v>
      </c>
      <c r="AJ51" s="54">
        <f>IF(AN51=0,M51,0)</f>
        <v>0</v>
      </c>
      <c r="AK51" s="54">
        <f>IF(AN51=15,M51,0)</f>
        <v>0</v>
      </c>
      <c r="AL51" s="54">
        <f>IF(AN51=21,M51,0)</f>
        <v>0</v>
      </c>
      <c r="AN51" s="33">
        <v>21</v>
      </c>
      <c r="AO51" s="33">
        <f>L51*1</f>
        <v>0</v>
      </c>
      <c r="AP51" s="33">
        <f>L51*(1-1)</f>
        <v>0</v>
      </c>
      <c r="AQ51" s="60" t="s">
        <v>80</v>
      </c>
      <c r="AV51" s="33">
        <f>AW51+AX51</f>
        <v>0</v>
      </c>
      <c r="AW51" s="33">
        <f>K51*AO51</f>
        <v>0</v>
      </c>
      <c r="AX51" s="33">
        <f>K51*AP51</f>
        <v>0</v>
      </c>
      <c r="AY51" s="61" t="s">
        <v>1007</v>
      </c>
      <c r="AZ51" s="61" t="s">
        <v>1029</v>
      </c>
      <c r="BA51" s="58" t="s">
        <v>1038</v>
      </c>
      <c r="BC51" s="33">
        <f>AW51+AX51</f>
        <v>0</v>
      </c>
      <c r="BD51" s="33">
        <f>L51/(100-BE51)*100</f>
        <v>0</v>
      </c>
      <c r="BE51" s="33">
        <v>0</v>
      </c>
      <c r="BF51" s="33">
        <f>51</f>
        <v>51</v>
      </c>
      <c r="BH51" s="54">
        <f>K51*AO51</f>
        <v>0</v>
      </c>
      <c r="BI51" s="54">
        <f>K51*AP51</f>
        <v>0</v>
      </c>
      <c r="BJ51" s="54">
        <f>K51*L51</f>
        <v>0</v>
      </c>
      <c r="BK51" s="54" t="s">
        <v>1047</v>
      </c>
      <c r="BL51" s="33">
        <v>91</v>
      </c>
    </row>
    <row r="52" spans="1:14" ht="12.75">
      <c r="A52" s="17"/>
      <c r="D52" s="143" t="s">
        <v>828</v>
      </c>
      <c r="E52" s="144"/>
      <c r="F52" s="144"/>
      <c r="G52" s="144"/>
      <c r="H52" s="144"/>
      <c r="I52" s="144"/>
      <c r="K52" s="75">
        <v>0</v>
      </c>
      <c r="M52" s="14"/>
      <c r="N52" s="17"/>
    </row>
    <row r="53" spans="1:14" ht="12.75">
      <c r="A53" s="17"/>
      <c r="D53" s="143" t="s">
        <v>829</v>
      </c>
      <c r="E53" s="144"/>
      <c r="F53" s="144"/>
      <c r="G53" s="144"/>
      <c r="H53" s="144"/>
      <c r="I53" s="144"/>
      <c r="K53" s="75">
        <v>17</v>
      </c>
      <c r="M53" s="14"/>
      <c r="N53" s="17"/>
    </row>
    <row r="54" spans="1:14" ht="12.75">
      <c r="A54" s="17"/>
      <c r="D54" s="143" t="s">
        <v>830</v>
      </c>
      <c r="E54" s="144"/>
      <c r="F54" s="144"/>
      <c r="G54" s="144"/>
      <c r="H54" s="144"/>
      <c r="I54" s="144"/>
      <c r="K54" s="75">
        <v>12</v>
      </c>
      <c r="M54" s="14"/>
      <c r="N54" s="17"/>
    </row>
    <row r="55" spans="1:14" ht="12.75">
      <c r="A55" s="17"/>
      <c r="D55" s="143" t="s">
        <v>831</v>
      </c>
      <c r="E55" s="144"/>
      <c r="F55" s="144"/>
      <c r="G55" s="144"/>
      <c r="H55" s="144"/>
      <c r="I55" s="144"/>
      <c r="K55" s="75">
        <v>0</v>
      </c>
      <c r="M55" s="14"/>
      <c r="N55" s="17"/>
    </row>
    <row r="56" spans="1:14" ht="12.75">
      <c r="A56" s="17"/>
      <c r="D56" s="143" t="s">
        <v>832</v>
      </c>
      <c r="E56" s="144"/>
      <c r="F56" s="144"/>
      <c r="G56" s="144"/>
      <c r="H56" s="144"/>
      <c r="I56" s="144"/>
      <c r="K56" s="75">
        <v>6</v>
      </c>
      <c r="M56" s="14"/>
      <c r="N56" s="17"/>
    </row>
    <row r="57" spans="1:14" ht="12.75">
      <c r="A57" s="17"/>
      <c r="D57" s="143" t="s">
        <v>833</v>
      </c>
      <c r="E57" s="144"/>
      <c r="F57" s="144"/>
      <c r="G57" s="144"/>
      <c r="H57" s="144"/>
      <c r="I57" s="144"/>
      <c r="K57" s="75">
        <v>0</v>
      </c>
      <c r="M57" s="14"/>
      <c r="N57" s="17"/>
    </row>
    <row r="58" spans="1:14" ht="12.75">
      <c r="A58" s="17"/>
      <c r="D58" s="143" t="s">
        <v>834</v>
      </c>
      <c r="E58" s="144"/>
      <c r="F58" s="144"/>
      <c r="G58" s="144"/>
      <c r="H58" s="144"/>
      <c r="I58" s="144"/>
      <c r="K58" s="75">
        <v>21</v>
      </c>
      <c r="M58" s="14"/>
      <c r="N58" s="17"/>
    </row>
    <row r="59" spans="1:14" ht="12.75">
      <c r="A59" s="17"/>
      <c r="D59" s="143" t="s">
        <v>835</v>
      </c>
      <c r="E59" s="144"/>
      <c r="F59" s="144"/>
      <c r="G59" s="144"/>
      <c r="H59" s="144"/>
      <c r="I59" s="144"/>
      <c r="K59" s="75">
        <v>11</v>
      </c>
      <c r="M59" s="14"/>
      <c r="N59" s="17"/>
    </row>
    <row r="60" spans="1:14" ht="12.75">
      <c r="A60" s="17"/>
      <c r="D60" s="143" t="s">
        <v>836</v>
      </c>
      <c r="E60" s="144"/>
      <c r="F60" s="144"/>
      <c r="G60" s="144"/>
      <c r="H60" s="144"/>
      <c r="I60" s="144"/>
      <c r="K60" s="75">
        <v>81</v>
      </c>
      <c r="M60" s="14"/>
      <c r="N60" s="17"/>
    </row>
    <row r="61" spans="1:14" ht="12.75">
      <c r="A61" s="17"/>
      <c r="D61" s="143" t="s">
        <v>837</v>
      </c>
      <c r="E61" s="144"/>
      <c r="F61" s="144"/>
      <c r="G61" s="144"/>
      <c r="H61" s="144"/>
      <c r="I61" s="144"/>
      <c r="K61" s="75">
        <v>4.44</v>
      </c>
      <c r="M61" s="14"/>
      <c r="N61" s="17"/>
    </row>
    <row r="62" spans="1:64" ht="12.75">
      <c r="A62" s="39" t="s">
        <v>91</v>
      </c>
      <c r="B62" s="46" t="s">
        <v>62</v>
      </c>
      <c r="C62" s="46" t="s">
        <v>381</v>
      </c>
      <c r="D62" s="148" t="s">
        <v>838</v>
      </c>
      <c r="E62" s="149"/>
      <c r="F62" s="149"/>
      <c r="G62" s="149"/>
      <c r="H62" s="149"/>
      <c r="I62" s="149"/>
      <c r="J62" s="46" t="s">
        <v>975</v>
      </c>
      <c r="K62" s="78">
        <f>'Stavební rozpočet'!K520</f>
        <v>89.61</v>
      </c>
      <c r="L62" s="54">
        <f>'Stavební rozpočet'!L520</f>
        <v>0</v>
      </c>
      <c r="M62" s="66">
        <f>K62*L62</f>
        <v>0</v>
      </c>
      <c r="N62" s="17"/>
      <c r="Z62" s="33">
        <f>IF(AQ62="5",BJ62,0)</f>
        <v>0</v>
      </c>
      <c r="AB62" s="33">
        <f>IF(AQ62="1",BH62,0)</f>
        <v>0</v>
      </c>
      <c r="AC62" s="33">
        <f>IF(AQ62="1",BI62,0)</f>
        <v>0</v>
      </c>
      <c r="AD62" s="33">
        <f>IF(AQ62="7",BH62,0)</f>
        <v>0</v>
      </c>
      <c r="AE62" s="33">
        <f>IF(AQ62="7",BI62,0)</f>
        <v>0</v>
      </c>
      <c r="AF62" s="33">
        <f>IF(AQ62="2",BH62,0)</f>
        <v>0</v>
      </c>
      <c r="AG62" s="33">
        <f>IF(AQ62="2",BI62,0)</f>
        <v>0</v>
      </c>
      <c r="AH62" s="33">
        <f>IF(AQ62="0",BJ62,0)</f>
        <v>0</v>
      </c>
      <c r="AI62" s="58" t="s">
        <v>62</v>
      </c>
      <c r="AJ62" s="54">
        <f>IF(AN62=0,M62,0)</f>
        <v>0</v>
      </c>
      <c r="AK62" s="54">
        <f>IF(AN62=15,M62,0)</f>
        <v>0</v>
      </c>
      <c r="AL62" s="54">
        <f>IF(AN62=21,M62,0)</f>
        <v>0</v>
      </c>
      <c r="AN62" s="33">
        <v>21</v>
      </c>
      <c r="AO62" s="33">
        <f>L62*1</f>
        <v>0</v>
      </c>
      <c r="AP62" s="33">
        <f>L62*(1-1)</f>
        <v>0</v>
      </c>
      <c r="AQ62" s="60" t="s">
        <v>80</v>
      </c>
      <c r="AV62" s="33">
        <f>AW62+AX62</f>
        <v>0</v>
      </c>
      <c r="AW62" s="33">
        <f>K62*AO62</f>
        <v>0</v>
      </c>
      <c r="AX62" s="33">
        <f>K62*AP62</f>
        <v>0</v>
      </c>
      <c r="AY62" s="61" t="s">
        <v>1007</v>
      </c>
      <c r="AZ62" s="61" t="s">
        <v>1029</v>
      </c>
      <c r="BA62" s="58" t="s">
        <v>1038</v>
      </c>
      <c r="BC62" s="33">
        <f>AW62+AX62</f>
        <v>0</v>
      </c>
      <c r="BD62" s="33">
        <f>L62/(100-BE62)*100</f>
        <v>0</v>
      </c>
      <c r="BE62" s="33">
        <v>0</v>
      </c>
      <c r="BF62" s="33">
        <f>62</f>
        <v>62</v>
      </c>
      <c r="BH62" s="54">
        <f>K62*AO62</f>
        <v>0</v>
      </c>
      <c r="BI62" s="54">
        <f>K62*AP62</f>
        <v>0</v>
      </c>
      <c r="BJ62" s="54">
        <f>K62*L62</f>
        <v>0</v>
      </c>
      <c r="BK62" s="54" t="s">
        <v>1047</v>
      </c>
      <c r="BL62" s="33">
        <v>91</v>
      </c>
    </row>
    <row r="63" spans="1:14" ht="12.75">
      <c r="A63" s="17"/>
      <c r="D63" s="143" t="s">
        <v>831</v>
      </c>
      <c r="E63" s="144"/>
      <c r="F63" s="144"/>
      <c r="G63" s="144"/>
      <c r="H63" s="144"/>
      <c r="I63" s="144"/>
      <c r="K63" s="75">
        <v>0</v>
      </c>
      <c r="M63" s="14"/>
      <c r="N63" s="17"/>
    </row>
    <row r="64" spans="1:14" ht="12.75">
      <c r="A64" s="17"/>
      <c r="D64" s="143" t="s">
        <v>839</v>
      </c>
      <c r="E64" s="144"/>
      <c r="F64" s="144"/>
      <c r="G64" s="144"/>
      <c r="H64" s="144"/>
      <c r="I64" s="144"/>
      <c r="K64" s="75">
        <v>24</v>
      </c>
      <c r="M64" s="14"/>
      <c r="N64" s="17"/>
    </row>
    <row r="65" spans="1:14" ht="12.75">
      <c r="A65" s="17"/>
      <c r="D65" s="143" t="s">
        <v>840</v>
      </c>
      <c r="E65" s="144"/>
      <c r="F65" s="144"/>
      <c r="G65" s="144"/>
      <c r="H65" s="144"/>
      <c r="I65" s="144"/>
      <c r="K65" s="75">
        <v>23</v>
      </c>
      <c r="M65" s="14"/>
      <c r="N65" s="17"/>
    </row>
    <row r="66" spans="1:14" ht="12.75">
      <c r="A66" s="17"/>
      <c r="D66" s="143" t="s">
        <v>841</v>
      </c>
      <c r="E66" s="144"/>
      <c r="F66" s="144"/>
      <c r="G66" s="144"/>
      <c r="H66" s="144"/>
      <c r="I66" s="144"/>
      <c r="K66" s="75">
        <v>0</v>
      </c>
      <c r="M66" s="14"/>
      <c r="N66" s="17"/>
    </row>
    <row r="67" spans="1:14" ht="12.75">
      <c r="A67" s="17"/>
      <c r="D67" s="143" t="s">
        <v>842</v>
      </c>
      <c r="E67" s="144"/>
      <c r="F67" s="144"/>
      <c r="G67" s="144"/>
      <c r="H67" s="144"/>
      <c r="I67" s="144"/>
      <c r="K67" s="75">
        <v>3</v>
      </c>
      <c r="M67" s="14"/>
      <c r="N67" s="17"/>
    </row>
    <row r="68" spans="1:14" ht="12.75">
      <c r="A68" s="17"/>
      <c r="D68" s="143" t="s">
        <v>843</v>
      </c>
      <c r="E68" s="144"/>
      <c r="F68" s="144"/>
      <c r="G68" s="144"/>
      <c r="H68" s="144"/>
      <c r="I68" s="144"/>
      <c r="K68" s="75">
        <v>37</v>
      </c>
      <c r="M68" s="14"/>
      <c r="N68" s="17"/>
    </row>
    <row r="69" spans="1:14" ht="12.75">
      <c r="A69" s="17"/>
      <c r="D69" s="143" t="s">
        <v>844</v>
      </c>
      <c r="E69" s="144"/>
      <c r="F69" s="144"/>
      <c r="G69" s="144"/>
      <c r="H69" s="144"/>
      <c r="I69" s="144"/>
      <c r="K69" s="75">
        <v>2.61</v>
      </c>
      <c r="M69" s="14"/>
      <c r="N69" s="17"/>
    </row>
    <row r="70" spans="1:47" ht="12.75">
      <c r="A70" s="37"/>
      <c r="B70" s="44" t="s">
        <v>62</v>
      </c>
      <c r="C70" s="44" t="s">
        <v>172</v>
      </c>
      <c r="D70" s="139" t="s">
        <v>845</v>
      </c>
      <c r="E70" s="140"/>
      <c r="F70" s="140"/>
      <c r="G70" s="140"/>
      <c r="H70" s="140"/>
      <c r="I70" s="140"/>
      <c r="J70" s="50" t="s">
        <v>59</v>
      </c>
      <c r="K70" s="50" t="s">
        <v>59</v>
      </c>
      <c r="L70" s="50" t="s">
        <v>59</v>
      </c>
      <c r="M70" s="64">
        <f>SUM(M71:M78)</f>
        <v>0</v>
      </c>
      <c r="N70" s="17"/>
      <c r="AI70" s="58" t="s">
        <v>62</v>
      </c>
      <c r="AS70" s="68">
        <f>SUM(AJ71:AJ78)</f>
        <v>0</v>
      </c>
      <c r="AT70" s="68">
        <f>SUM(AK71:AK78)</f>
        <v>0</v>
      </c>
      <c r="AU70" s="68">
        <f>SUM(AL71:AL78)</f>
        <v>0</v>
      </c>
    </row>
    <row r="71" spans="1:64" ht="12.75">
      <c r="A71" s="38" t="s">
        <v>92</v>
      </c>
      <c r="B71" s="45" t="s">
        <v>62</v>
      </c>
      <c r="C71" s="45" t="s">
        <v>382</v>
      </c>
      <c r="D71" s="141" t="s">
        <v>846</v>
      </c>
      <c r="E71" s="142"/>
      <c r="F71" s="142"/>
      <c r="G71" s="142"/>
      <c r="H71" s="142"/>
      <c r="I71" s="142"/>
      <c r="J71" s="45" t="s">
        <v>968</v>
      </c>
      <c r="K71" s="74">
        <f>'Stavební rozpočet'!K529</f>
        <v>37</v>
      </c>
      <c r="L71" s="53">
        <f>'Stavební rozpočet'!L529</f>
        <v>0</v>
      </c>
      <c r="M71" s="65">
        <f>K71*L71</f>
        <v>0</v>
      </c>
      <c r="N71" s="17"/>
      <c r="Z71" s="33">
        <f>IF(AQ71="5",BJ71,0)</f>
        <v>0</v>
      </c>
      <c r="AB71" s="33">
        <f>IF(AQ71="1",BH71,0)</f>
        <v>0</v>
      </c>
      <c r="AC71" s="33">
        <f>IF(AQ71="1",BI71,0)</f>
        <v>0</v>
      </c>
      <c r="AD71" s="33">
        <f>IF(AQ71="7",BH71,0)</f>
        <v>0</v>
      </c>
      <c r="AE71" s="33">
        <f>IF(AQ71="7",BI71,0)</f>
        <v>0</v>
      </c>
      <c r="AF71" s="33">
        <f>IF(AQ71="2",BH71,0)</f>
        <v>0</v>
      </c>
      <c r="AG71" s="33">
        <f>IF(AQ71="2",BI71,0)</f>
        <v>0</v>
      </c>
      <c r="AH71" s="33">
        <f>IF(AQ71="0",BJ71,0)</f>
        <v>0</v>
      </c>
      <c r="AI71" s="58" t="s">
        <v>62</v>
      </c>
      <c r="AJ71" s="53">
        <f>IF(AN71=0,M71,0)</f>
        <v>0</v>
      </c>
      <c r="AK71" s="53">
        <f>IF(AN71=15,M71,0)</f>
        <v>0</v>
      </c>
      <c r="AL71" s="53">
        <f>IF(AN71=21,M71,0)</f>
        <v>0</v>
      </c>
      <c r="AN71" s="33">
        <v>21</v>
      </c>
      <c r="AO71" s="33">
        <f>L71*0.229188936634126</f>
        <v>0</v>
      </c>
      <c r="AP71" s="33">
        <f>L71*(1-0.229188936634126)</f>
        <v>0</v>
      </c>
      <c r="AQ71" s="59" t="s">
        <v>80</v>
      </c>
      <c r="AV71" s="33">
        <f>AW71+AX71</f>
        <v>0</v>
      </c>
      <c r="AW71" s="33">
        <f>K71*AO71</f>
        <v>0</v>
      </c>
      <c r="AX71" s="33">
        <f>K71*AP71</f>
        <v>0</v>
      </c>
      <c r="AY71" s="61" t="s">
        <v>1014</v>
      </c>
      <c r="AZ71" s="61" t="s">
        <v>1029</v>
      </c>
      <c r="BA71" s="58" t="s">
        <v>1038</v>
      </c>
      <c r="BC71" s="33">
        <f>AW71+AX71</f>
        <v>0</v>
      </c>
      <c r="BD71" s="33">
        <f>L71/(100-BE71)*100</f>
        <v>0</v>
      </c>
      <c r="BE71" s="33">
        <v>0</v>
      </c>
      <c r="BF71" s="33">
        <f>71</f>
        <v>71</v>
      </c>
      <c r="BH71" s="53">
        <f>K71*AO71</f>
        <v>0</v>
      </c>
      <c r="BI71" s="53">
        <f>K71*AP71</f>
        <v>0</v>
      </c>
      <c r="BJ71" s="53">
        <f>K71*L71</f>
        <v>0</v>
      </c>
      <c r="BK71" s="53" t="s">
        <v>1046</v>
      </c>
      <c r="BL71" s="33">
        <v>93</v>
      </c>
    </row>
    <row r="72" spans="1:14" ht="12.75">
      <c r="A72" s="17"/>
      <c r="D72" s="143" t="s">
        <v>847</v>
      </c>
      <c r="E72" s="144"/>
      <c r="F72" s="144"/>
      <c r="G72" s="144"/>
      <c r="H72" s="144"/>
      <c r="I72" s="144"/>
      <c r="K72" s="75">
        <v>37</v>
      </c>
      <c r="M72" s="14"/>
      <c r="N72" s="17"/>
    </row>
    <row r="73" spans="1:64" ht="12.75">
      <c r="A73" s="39" t="s">
        <v>93</v>
      </c>
      <c r="B73" s="46" t="s">
        <v>62</v>
      </c>
      <c r="C73" s="46" t="s">
        <v>383</v>
      </c>
      <c r="D73" s="148" t="s">
        <v>848</v>
      </c>
      <c r="E73" s="149"/>
      <c r="F73" s="149"/>
      <c r="G73" s="149"/>
      <c r="H73" s="149"/>
      <c r="I73" s="149"/>
      <c r="J73" s="46" t="s">
        <v>975</v>
      </c>
      <c r="K73" s="78">
        <f>'Stavební rozpočet'!K531</f>
        <v>38.11</v>
      </c>
      <c r="L73" s="54">
        <f>'Stavební rozpočet'!L531</f>
        <v>0</v>
      </c>
      <c r="M73" s="66">
        <f>K73*L73</f>
        <v>0</v>
      </c>
      <c r="N73" s="17"/>
      <c r="Z73" s="33">
        <f>IF(AQ73="5",BJ73,0)</f>
        <v>0</v>
      </c>
      <c r="AB73" s="33">
        <f>IF(AQ73="1",BH73,0)</f>
        <v>0</v>
      </c>
      <c r="AC73" s="33">
        <f>IF(AQ73="1",BI73,0)</f>
        <v>0</v>
      </c>
      <c r="AD73" s="33">
        <f>IF(AQ73="7",BH73,0)</f>
        <v>0</v>
      </c>
      <c r="AE73" s="33">
        <f>IF(AQ73="7",BI73,0)</f>
        <v>0</v>
      </c>
      <c r="AF73" s="33">
        <f>IF(AQ73="2",BH73,0)</f>
        <v>0</v>
      </c>
      <c r="AG73" s="33">
        <f>IF(AQ73="2",BI73,0)</f>
        <v>0</v>
      </c>
      <c r="AH73" s="33">
        <f>IF(AQ73="0",BJ73,0)</f>
        <v>0</v>
      </c>
      <c r="AI73" s="58" t="s">
        <v>62</v>
      </c>
      <c r="AJ73" s="54">
        <f>IF(AN73=0,M73,0)</f>
        <v>0</v>
      </c>
      <c r="AK73" s="54">
        <f>IF(AN73=15,M73,0)</f>
        <v>0</v>
      </c>
      <c r="AL73" s="54">
        <f>IF(AN73=21,M73,0)</f>
        <v>0</v>
      </c>
      <c r="AN73" s="33">
        <v>21</v>
      </c>
      <c r="AO73" s="33">
        <f>L73*1</f>
        <v>0</v>
      </c>
      <c r="AP73" s="33">
        <f>L73*(1-1)</f>
        <v>0</v>
      </c>
      <c r="AQ73" s="60" t="s">
        <v>80</v>
      </c>
      <c r="AV73" s="33">
        <f>AW73+AX73</f>
        <v>0</v>
      </c>
      <c r="AW73" s="33">
        <f>K73*AO73</f>
        <v>0</v>
      </c>
      <c r="AX73" s="33">
        <f>K73*AP73</f>
        <v>0</v>
      </c>
      <c r="AY73" s="61" t="s">
        <v>1014</v>
      </c>
      <c r="AZ73" s="61" t="s">
        <v>1029</v>
      </c>
      <c r="BA73" s="58" t="s">
        <v>1038</v>
      </c>
      <c r="BC73" s="33">
        <f>AW73+AX73</f>
        <v>0</v>
      </c>
      <c r="BD73" s="33">
        <f>L73/(100-BE73)*100</f>
        <v>0</v>
      </c>
      <c r="BE73" s="33">
        <v>0</v>
      </c>
      <c r="BF73" s="33">
        <f>73</f>
        <v>73</v>
      </c>
      <c r="BH73" s="54">
        <f>K73*AO73</f>
        <v>0</v>
      </c>
      <c r="BI73" s="54">
        <f>K73*AP73</f>
        <v>0</v>
      </c>
      <c r="BJ73" s="54">
        <f>K73*L73</f>
        <v>0</v>
      </c>
      <c r="BK73" s="54" t="s">
        <v>1047</v>
      </c>
      <c r="BL73" s="33">
        <v>93</v>
      </c>
    </row>
    <row r="74" spans="1:14" ht="12.75">
      <c r="A74" s="17"/>
      <c r="D74" s="143" t="s">
        <v>849</v>
      </c>
      <c r="E74" s="144"/>
      <c r="F74" s="144"/>
      <c r="G74" s="144"/>
      <c r="H74" s="144"/>
      <c r="I74" s="144"/>
      <c r="K74" s="75">
        <v>37</v>
      </c>
      <c r="M74" s="14"/>
      <c r="N74" s="17"/>
    </row>
    <row r="75" spans="1:14" ht="12.75">
      <c r="A75" s="17"/>
      <c r="D75" s="143" t="s">
        <v>850</v>
      </c>
      <c r="E75" s="144"/>
      <c r="F75" s="144"/>
      <c r="G75" s="144"/>
      <c r="H75" s="144"/>
      <c r="I75" s="144"/>
      <c r="K75" s="75">
        <v>1.11</v>
      </c>
      <c r="M75" s="14"/>
      <c r="N75" s="17"/>
    </row>
    <row r="76" spans="1:64" ht="12.75">
      <c r="A76" s="38" t="s">
        <v>94</v>
      </c>
      <c r="B76" s="45" t="s">
        <v>62</v>
      </c>
      <c r="C76" s="45" t="s">
        <v>384</v>
      </c>
      <c r="D76" s="141" t="s">
        <v>851</v>
      </c>
      <c r="E76" s="142"/>
      <c r="F76" s="142"/>
      <c r="G76" s="142"/>
      <c r="H76" s="142"/>
      <c r="I76" s="142"/>
      <c r="J76" s="45" t="s">
        <v>968</v>
      </c>
      <c r="K76" s="74">
        <f>'Stavební rozpočet'!K534</f>
        <v>23</v>
      </c>
      <c r="L76" s="53">
        <f>'Stavební rozpočet'!L534</f>
        <v>0</v>
      </c>
      <c r="M76" s="65">
        <f>K76*L76</f>
        <v>0</v>
      </c>
      <c r="N76" s="17"/>
      <c r="Z76" s="33">
        <f>IF(AQ76="5",BJ76,0)</f>
        <v>0</v>
      </c>
      <c r="AB76" s="33">
        <f>IF(AQ76="1",BH76,0)</f>
        <v>0</v>
      </c>
      <c r="AC76" s="33">
        <f>IF(AQ76="1",BI76,0)</f>
        <v>0</v>
      </c>
      <c r="AD76" s="33">
        <f>IF(AQ76="7",BH76,0)</f>
        <v>0</v>
      </c>
      <c r="AE76" s="33">
        <f>IF(AQ76="7",BI76,0)</f>
        <v>0</v>
      </c>
      <c r="AF76" s="33">
        <f>IF(AQ76="2",BH76,0)</f>
        <v>0</v>
      </c>
      <c r="AG76" s="33">
        <f>IF(AQ76="2",BI76,0)</f>
        <v>0</v>
      </c>
      <c r="AH76" s="33">
        <f>IF(AQ76="0",BJ76,0)</f>
        <v>0</v>
      </c>
      <c r="AI76" s="58" t="s">
        <v>62</v>
      </c>
      <c r="AJ76" s="53">
        <f>IF(AN76=0,M76,0)</f>
        <v>0</v>
      </c>
      <c r="AK76" s="53">
        <f>IF(AN76=15,M76,0)</f>
        <v>0</v>
      </c>
      <c r="AL76" s="53">
        <f>IF(AN76=21,M76,0)</f>
        <v>0</v>
      </c>
      <c r="AN76" s="33">
        <v>21</v>
      </c>
      <c r="AO76" s="33">
        <f>L76*0.525270359743986</f>
        <v>0</v>
      </c>
      <c r="AP76" s="33">
        <f>L76*(1-0.525270359743986)</f>
        <v>0</v>
      </c>
      <c r="AQ76" s="59" t="s">
        <v>80</v>
      </c>
      <c r="AV76" s="33">
        <f>AW76+AX76</f>
        <v>0</v>
      </c>
      <c r="AW76" s="33">
        <f>K76*AO76</f>
        <v>0</v>
      </c>
      <c r="AX76" s="33">
        <f>K76*AP76</f>
        <v>0</v>
      </c>
      <c r="AY76" s="61" t="s">
        <v>1014</v>
      </c>
      <c r="AZ76" s="61" t="s">
        <v>1029</v>
      </c>
      <c r="BA76" s="58" t="s">
        <v>1038</v>
      </c>
      <c r="BC76" s="33">
        <f>AW76+AX76</f>
        <v>0</v>
      </c>
      <c r="BD76" s="33">
        <f>L76/(100-BE76)*100</f>
        <v>0</v>
      </c>
      <c r="BE76" s="33">
        <v>0</v>
      </c>
      <c r="BF76" s="33">
        <f>76</f>
        <v>76</v>
      </c>
      <c r="BH76" s="53">
        <f>K76*AO76</f>
        <v>0</v>
      </c>
      <c r="BI76" s="53">
        <f>K76*AP76</f>
        <v>0</v>
      </c>
      <c r="BJ76" s="53">
        <f>K76*L76</f>
        <v>0</v>
      </c>
      <c r="BK76" s="53" t="s">
        <v>1046</v>
      </c>
      <c r="BL76" s="33">
        <v>93</v>
      </c>
    </row>
    <row r="77" spans="1:14" ht="12.75">
      <c r="A77" s="17"/>
      <c r="D77" s="143" t="s">
        <v>852</v>
      </c>
      <c r="E77" s="144"/>
      <c r="F77" s="144"/>
      <c r="G77" s="144"/>
      <c r="H77" s="144"/>
      <c r="I77" s="144"/>
      <c r="K77" s="75">
        <v>23</v>
      </c>
      <c r="M77" s="14"/>
      <c r="N77" s="17"/>
    </row>
    <row r="78" spans="1:64" ht="12.75">
      <c r="A78" s="39" t="s">
        <v>95</v>
      </c>
      <c r="B78" s="46" t="s">
        <v>62</v>
      </c>
      <c r="C78" s="46" t="s">
        <v>385</v>
      </c>
      <c r="D78" s="148" t="s">
        <v>853</v>
      </c>
      <c r="E78" s="149"/>
      <c r="F78" s="149"/>
      <c r="G78" s="149"/>
      <c r="H78" s="149"/>
      <c r="I78" s="149"/>
      <c r="J78" s="46" t="s">
        <v>975</v>
      </c>
      <c r="K78" s="78">
        <f>'Stavební rozpočet'!K536</f>
        <v>23.69</v>
      </c>
      <c r="L78" s="54">
        <f>'Stavební rozpočet'!L536</f>
        <v>0</v>
      </c>
      <c r="M78" s="66">
        <f>K78*L78</f>
        <v>0</v>
      </c>
      <c r="N78" s="17"/>
      <c r="Z78" s="33">
        <f>IF(AQ78="5",BJ78,0)</f>
        <v>0</v>
      </c>
      <c r="AB78" s="33">
        <f>IF(AQ78="1",BH78,0)</f>
        <v>0</v>
      </c>
      <c r="AC78" s="33">
        <f>IF(AQ78="1",BI78,0)</f>
        <v>0</v>
      </c>
      <c r="AD78" s="33">
        <f>IF(AQ78="7",BH78,0)</f>
        <v>0</v>
      </c>
      <c r="AE78" s="33">
        <f>IF(AQ78="7",BI78,0)</f>
        <v>0</v>
      </c>
      <c r="AF78" s="33">
        <f>IF(AQ78="2",BH78,0)</f>
        <v>0</v>
      </c>
      <c r="AG78" s="33">
        <f>IF(AQ78="2",BI78,0)</f>
        <v>0</v>
      </c>
      <c r="AH78" s="33">
        <f>IF(AQ78="0",BJ78,0)</f>
        <v>0</v>
      </c>
      <c r="AI78" s="58" t="s">
        <v>62</v>
      </c>
      <c r="AJ78" s="54">
        <f>IF(AN78=0,M78,0)</f>
        <v>0</v>
      </c>
      <c r="AK78" s="54">
        <f>IF(AN78=15,M78,0)</f>
        <v>0</v>
      </c>
      <c r="AL78" s="54">
        <f>IF(AN78=21,M78,0)</f>
        <v>0</v>
      </c>
      <c r="AN78" s="33">
        <v>21</v>
      </c>
      <c r="AO78" s="33">
        <f>L78*1</f>
        <v>0</v>
      </c>
      <c r="AP78" s="33">
        <f>L78*(1-1)</f>
        <v>0</v>
      </c>
      <c r="AQ78" s="60" t="s">
        <v>80</v>
      </c>
      <c r="AV78" s="33">
        <f>AW78+AX78</f>
        <v>0</v>
      </c>
      <c r="AW78" s="33">
        <f>K78*AO78</f>
        <v>0</v>
      </c>
      <c r="AX78" s="33">
        <f>K78*AP78</f>
        <v>0</v>
      </c>
      <c r="AY78" s="61" t="s">
        <v>1014</v>
      </c>
      <c r="AZ78" s="61" t="s">
        <v>1029</v>
      </c>
      <c r="BA78" s="58" t="s">
        <v>1038</v>
      </c>
      <c r="BC78" s="33">
        <f>AW78+AX78</f>
        <v>0</v>
      </c>
      <c r="BD78" s="33">
        <f>L78/(100-BE78)*100</f>
        <v>0</v>
      </c>
      <c r="BE78" s="33">
        <v>0</v>
      </c>
      <c r="BF78" s="33">
        <f>78</f>
        <v>78</v>
      </c>
      <c r="BH78" s="54">
        <f>K78*AO78</f>
        <v>0</v>
      </c>
      <c r="BI78" s="54">
        <f>K78*AP78</f>
        <v>0</v>
      </c>
      <c r="BJ78" s="54">
        <f>K78*L78</f>
        <v>0</v>
      </c>
      <c r="BK78" s="54" t="s">
        <v>1047</v>
      </c>
      <c r="BL78" s="33">
        <v>93</v>
      </c>
    </row>
    <row r="79" spans="1:14" ht="12.75">
      <c r="A79" s="17"/>
      <c r="D79" s="143" t="s">
        <v>854</v>
      </c>
      <c r="E79" s="144"/>
      <c r="F79" s="144"/>
      <c r="G79" s="144"/>
      <c r="H79" s="144"/>
      <c r="I79" s="144"/>
      <c r="K79" s="75">
        <v>23</v>
      </c>
      <c r="M79" s="14"/>
      <c r="N79" s="17"/>
    </row>
    <row r="80" spans="1:14" ht="12.75">
      <c r="A80" s="17"/>
      <c r="D80" s="143" t="s">
        <v>855</v>
      </c>
      <c r="E80" s="144"/>
      <c r="F80" s="144"/>
      <c r="G80" s="144"/>
      <c r="H80" s="144"/>
      <c r="I80" s="144"/>
      <c r="K80" s="75">
        <v>0.69</v>
      </c>
      <c r="M80" s="14"/>
      <c r="N80" s="17"/>
    </row>
    <row r="81" spans="1:47" ht="12.75">
      <c r="A81" s="37"/>
      <c r="B81" s="44" t="s">
        <v>62</v>
      </c>
      <c r="C81" s="44" t="s">
        <v>371</v>
      </c>
      <c r="D81" s="139" t="s">
        <v>802</v>
      </c>
      <c r="E81" s="140"/>
      <c r="F81" s="140"/>
      <c r="G81" s="140"/>
      <c r="H81" s="140"/>
      <c r="I81" s="140"/>
      <c r="J81" s="50" t="s">
        <v>59</v>
      </c>
      <c r="K81" s="50" t="s">
        <v>59</v>
      </c>
      <c r="L81" s="50" t="s">
        <v>59</v>
      </c>
      <c r="M81" s="64">
        <f>SUM(M82:M82)</f>
        <v>0</v>
      </c>
      <c r="N81" s="17"/>
      <c r="AI81" s="58" t="s">
        <v>62</v>
      </c>
      <c r="AS81" s="68">
        <f>SUM(AJ82:AJ82)</f>
        <v>0</v>
      </c>
      <c r="AT81" s="68">
        <f>SUM(AK82:AK82)</f>
        <v>0</v>
      </c>
      <c r="AU81" s="68">
        <f>SUM(AL82:AL82)</f>
        <v>0</v>
      </c>
    </row>
    <row r="82" spans="1:64" ht="12.75">
      <c r="A82" s="70" t="s">
        <v>96</v>
      </c>
      <c r="B82" s="71" t="s">
        <v>62</v>
      </c>
      <c r="C82" s="71" t="s">
        <v>386</v>
      </c>
      <c r="D82" s="154" t="s">
        <v>856</v>
      </c>
      <c r="E82" s="155"/>
      <c r="F82" s="155"/>
      <c r="G82" s="155"/>
      <c r="H82" s="155"/>
      <c r="I82" s="155"/>
      <c r="J82" s="71" t="s">
        <v>974</v>
      </c>
      <c r="K82" s="79">
        <f>'Stavební rozpočet'!K540</f>
        <v>1126.195</v>
      </c>
      <c r="L82" s="72">
        <f>'Stavební rozpočet'!L540</f>
        <v>0</v>
      </c>
      <c r="M82" s="73">
        <f>K82*L82</f>
        <v>0</v>
      </c>
      <c r="N82" s="17"/>
      <c r="Z82" s="33">
        <f>IF(AQ82="5",BJ82,0)</f>
        <v>0</v>
      </c>
      <c r="AB82" s="33">
        <f>IF(AQ82="1",BH82,0)</f>
        <v>0</v>
      </c>
      <c r="AC82" s="33">
        <f>IF(AQ82="1",BI82,0)</f>
        <v>0</v>
      </c>
      <c r="AD82" s="33">
        <f>IF(AQ82="7",BH82,0)</f>
        <v>0</v>
      </c>
      <c r="AE82" s="33">
        <f>IF(AQ82="7",BI82,0)</f>
        <v>0</v>
      </c>
      <c r="AF82" s="33">
        <f>IF(AQ82="2",BH82,0)</f>
        <v>0</v>
      </c>
      <c r="AG82" s="33">
        <f>IF(AQ82="2",BI82,0)</f>
        <v>0</v>
      </c>
      <c r="AH82" s="33">
        <f>IF(AQ82="0",BJ82,0)</f>
        <v>0</v>
      </c>
      <c r="AI82" s="58" t="s">
        <v>62</v>
      </c>
      <c r="AJ82" s="53">
        <f>IF(AN82=0,M82,0)</f>
        <v>0</v>
      </c>
      <c r="AK82" s="53">
        <f>IF(AN82=15,M82,0)</f>
        <v>0</v>
      </c>
      <c r="AL82" s="53">
        <f>IF(AN82=21,M82,0)</f>
        <v>0</v>
      </c>
      <c r="AN82" s="33">
        <v>21</v>
      </c>
      <c r="AO82" s="33">
        <f>L82*0</f>
        <v>0</v>
      </c>
      <c r="AP82" s="33">
        <f>L82*(1-0)</f>
        <v>0</v>
      </c>
      <c r="AQ82" s="59" t="s">
        <v>84</v>
      </c>
      <c r="AV82" s="33">
        <f>AW82+AX82</f>
        <v>0</v>
      </c>
      <c r="AW82" s="33">
        <f>K82*AO82</f>
        <v>0</v>
      </c>
      <c r="AX82" s="33">
        <f>K82*AP82</f>
        <v>0</v>
      </c>
      <c r="AY82" s="61" t="s">
        <v>1012</v>
      </c>
      <c r="AZ82" s="61" t="s">
        <v>1029</v>
      </c>
      <c r="BA82" s="58" t="s">
        <v>1038</v>
      </c>
      <c r="BC82" s="33">
        <f>AW82+AX82</f>
        <v>0</v>
      </c>
      <c r="BD82" s="33">
        <f>L82/(100-BE82)*100</f>
        <v>0</v>
      </c>
      <c r="BE82" s="33">
        <v>0</v>
      </c>
      <c r="BF82" s="33">
        <f>82</f>
        <v>82</v>
      </c>
      <c r="BH82" s="53">
        <f>K82*AO82</f>
        <v>0</v>
      </c>
      <c r="BI82" s="53">
        <f>K82*AP82</f>
        <v>0</v>
      </c>
      <c r="BJ82" s="53">
        <f>K82*L82</f>
        <v>0</v>
      </c>
      <c r="BK82" s="53" t="s">
        <v>1046</v>
      </c>
      <c r="BL82" s="33" t="s">
        <v>371</v>
      </c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32">
        <f>ROUND(M13+M17+M38+M47+M70+M81,1)</f>
        <v>0</v>
      </c>
    </row>
    <row r="84" ht="11.25" customHeight="1">
      <c r="A84" s="25" t="s">
        <v>18</v>
      </c>
    </row>
    <row r="85" spans="1:13" ht="12.75">
      <c r="A85" s="9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</sheetData>
  <mergeCells count="99">
    <mergeCell ref="D82:I82"/>
    <mergeCell ref="A85:M85"/>
    <mergeCell ref="D76:I76"/>
    <mergeCell ref="D77:I77"/>
    <mergeCell ref="D78:I78"/>
    <mergeCell ref="D79:I79"/>
    <mergeCell ref="D80:I80"/>
    <mergeCell ref="D81:I81"/>
    <mergeCell ref="D70:I70"/>
    <mergeCell ref="D71:I71"/>
    <mergeCell ref="D72:I72"/>
    <mergeCell ref="D73:I73"/>
    <mergeCell ref="D74:I74"/>
    <mergeCell ref="D75:I75"/>
    <mergeCell ref="D64:I64"/>
    <mergeCell ref="D65:I65"/>
    <mergeCell ref="D66:I66"/>
    <mergeCell ref="D67:I67"/>
    <mergeCell ref="D68:I68"/>
    <mergeCell ref="D69:I69"/>
    <mergeCell ref="D58:I58"/>
    <mergeCell ref="D59:I59"/>
    <mergeCell ref="D60:I60"/>
    <mergeCell ref="D61:I61"/>
    <mergeCell ref="D62:I62"/>
    <mergeCell ref="D63:I63"/>
    <mergeCell ref="D52:I52"/>
    <mergeCell ref="D53:I53"/>
    <mergeCell ref="D54:I54"/>
    <mergeCell ref="D55:I55"/>
    <mergeCell ref="D56:I56"/>
    <mergeCell ref="D57:I57"/>
    <mergeCell ref="D46:I46"/>
    <mergeCell ref="D47:I47"/>
    <mergeCell ref="D48:I48"/>
    <mergeCell ref="D49:I49"/>
    <mergeCell ref="D50:I50"/>
    <mergeCell ref="D51:I51"/>
    <mergeCell ref="D40:I40"/>
    <mergeCell ref="D41:I41"/>
    <mergeCell ref="D42:I42"/>
    <mergeCell ref="D43:I43"/>
    <mergeCell ref="D44:I44"/>
    <mergeCell ref="D45:I45"/>
    <mergeCell ref="D34:I34"/>
    <mergeCell ref="D35:I35"/>
    <mergeCell ref="D36:I36"/>
    <mergeCell ref="D37:I37"/>
    <mergeCell ref="D38:I38"/>
    <mergeCell ref="D39:I39"/>
    <mergeCell ref="D28:I28"/>
    <mergeCell ref="D29:I29"/>
    <mergeCell ref="D30:M30"/>
    <mergeCell ref="D31:I31"/>
    <mergeCell ref="D32:I32"/>
    <mergeCell ref="D33:I33"/>
    <mergeCell ref="D22:M22"/>
    <mergeCell ref="D23:I23"/>
    <mergeCell ref="D24:I24"/>
    <mergeCell ref="D25:I25"/>
    <mergeCell ref="D26:M26"/>
    <mergeCell ref="D27:I27"/>
    <mergeCell ref="D16:I16"/>
    <mergeCell ref="D17:I17"/>
    <mergeCell ref="D18:I18"/>
    <mergeCell ref="D19:I19"/>
    <mergeCell ref="D20:I20"/>
    <mergeCell ref="D21:I21"/>
    <mergeCell ref="D10:I10"/>
    <mergeCell ref="D11:I11"/>
    <mergeCell ref="D12:I12"/>
    <mergeCell ref="D13:I13"/>
    <mergeCell ref="D14:I14"/>
    <mergeCell ref="D15:I15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77"/>
      <c r="B1" s="1"/>
      <c r="C1" s="80" t="s">
        <v>1053</v>
      </c>
      <c r="D1" s="81"/>
      <c r="E1" s="81"/>
      <c r="F1" s="81"/>
      <c r="G1" s="81"/>
      <c r="H1" s="81"/>
      <c r="I1" s="81"/>
    </row>
    <row r="2" spans="1:10" ht="12.75">
      <c r="A2" s="82" t="s">
        <v>0</v>
      </c>
      <c r="B2" s="83"/>
      <c r="C2" s="86" t="str">
        <f>'Stavební rozpočet'!D2</f>
        <v>Rekonstrukce kanalizace a zpevněných ploch Hlavní náměstí 9-12; Krnov</v>
      </c>
      <c r="D2" s="87"/>
      <c r="E2" s="89" t="s">
        <v>32</v>
      </c>
      <c r="F2" s="89" t="str">
        <f>'Stavební rozpočet'!I2</f>
        <v> </v>
      </c>
      <c r="G2" s="83"/>
      <c r="H2" s="89" t="s">
        <v>52</v>
      </c>
      <c r="I2" s="90"/>
      <c r="J2" s="17"/>
    </row>
    <row r="3" spans="1:10" ht="25.7" customHeight="1">
      <c r="A3" s="84"/>
      <c r="B3" s="85"/>
      <c r="C3" s="88"/>
      <c r="D3" s="88"/>
      <c r="E3" s="85"/>
      <c r="F3" s="85"/>
      <c r="G3" s="85"/>
      <c r="H3" s="85"/>
      <c r="I3" s="91"/>
      <c r="J3" s="17"/>
    </row>
    <row r="4" spans="1:10" ht="12.75">
      <c r="A4" s="92" t="s">
        <v>1</v>
      </c>
      <c r="B4" s="85"/>
      <c r="C4" s="93" t="str">
        <f>'Stavební rozpočet'!D4</f>
        <v xml:space="preserve"> </v>
      </c>
      <c r="D4" s="85"/>
      <c r="E4" s="93" t="s">
        <v>33</v>
      </c>
      <c r="F4" s="93" t="str">
        <f>'Stavební rozpočet'!I4</f>
        <v>hProjekce - Libor Horák</v>
      </c>
      <c r="G4" s="85"/>
      <c r="H4" s="93" t="s">
        <v>52</v>
      </c>
      <c r="I4" s="94" t="s">
        <v>56</v>
      </c>
      <c r="J4" s="17"/>
    </row>
    <row r="5" spans="1:10" ht="12.75">
      <c r="A5" s="84"/>
      <c r="B5" s="85"/>
      <c r="C5" s="85"/>
      <c r="D5" s="85"/>
      <c r="E5" s="85"/>
      <c r="F5" s="85"/>
      <c r="G5" s="85"/>
      <c r="H5" s="85"/>
      <c r="I5" s="91"/>
      <c r="J5" s="17"/>
    </row>
    <row r="6" spans="1:10" ht="12.75">
      <c r="A6" s="92" t="s">
        <v>2</v>
      </c>
      <c r="B6" s="85"/>
      <c r="C6" s="93" t="str">
        <f>'Stavební rozpočet'!D6</f>
        <v>Krnov</v>
      </c>
      <c r="D6" s="85"/>
      <c r="E6" s="93" t="s">
        <v>34</v>
      </c>
      <c r="F6" s="93" t="str">
        <f>'Stavební rozpočet'!I6</f>
        <v> </v>
      </c>
      <c r="G6" s="85"/>
      <c r="H6" s="93" t="s">
        <v>52</v>
      </c>
      <c r="I6" s="94"/>
      <c r="J6" s="17"/>
    </row>
    <row r="7" spans="1:10" ht="12.75">
      <c r="A7" s="84"/>
      <c r="B7" s="85"/>
      <c r="C7" s="85"/>
      <c r="D7" s="85"/>
      <c r="E7" s="85"/>
      <c r="F7" s="85"/>
      <c r="G7" s="85"/>
      <c r="H7" s="85"/>
      <c r="I7" s="91"/>
      <c r="J7" s="17"/>
    </row>
    <row r="8" spans="1:10" ht="12.75">
      <c r="A8" s="92" t="s">
        <v>3</v>
      </c>
      <c r="B8" s="85"/>
      <c r="C8" s="93" t="str">
        <f>'Stavební rozpočet'!G4</f>
        <v>08.11.2021</v>
      </c>
      <c r="D8" s="85"/>
      <c r="E8" s="93" t="s">
        <v>35</v>
      </c>
      <c r="F8" s="93" t="str">
        <f>'Stavební rozpočet'!G6</f>
        <v xml:space="preserve"> </v>
      </c>
      <c r="G8" s="85"/>
      <c r="H8" s="95" t="s">
        <v>53</v>
      </c>
      <c r="I8" s="94" t="s">
        <v>112</v>
      </c>
      <c r="J8" s="17"/>
    </row>
    <row r="9" spans="1:10" ht="12.75">
      <c r="A9" s="84"/>
      <c r="B9" s="85"/>
      <c r="C9" s="85"/>
      <c r="D9" s="85"/>
      <c r="E9" s="85"/>
      <c r="F9" s="85"/>
      <c r="G9" s="85"/>
      <c r="H9" s="85"/>
      <c r="I9" s="91"/>
      <c r="J9" s="17"/>
    </row>
    <row r="10" spans="1:10" ht="12.75">
      <c r="A10" s="92" t="s">
        <v>4</v>
      </c>
      <c r="B10" s="85"/>
      <c r="C10" s="93" t="str">
        <f>'Stavební rozpočet'!D8</f>
        <v xml:space="preserve"> </v>
      </c>
      <c r="D10" s="85"/>
      <c r="E10" s="93" t="s">
        <v>36</v>
      </c>
      <c r="F10" s="93" t="str">
        <f>'Stavební rozpočet'!I8</f>
        <v> </v>
      </c>
      <c r="G10" s="85"/>
      <c r="H10" s="95" t="s">
        <v>54</v>
      </c>
      <c r="I10" s="98" t="str">
        <f>'Stavební rozpočet'!G8</f>
        <v>08.11.2021</v>
      </c>
      <c r="J10" s="17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9"/>
      <c r="J11" s="17"/>
    </row>
    <row r="12" spans="1:9" ht="23.45" customHeight="1">
      <c r="A12" s="100" t="s">
        <v>5</v>
      </c>
      <c r="B12" s="101"/>
      <c r="C12" s="101"/>
      <c r="D12" s="101"/>
      <c r="E12" s="101"/>
      <c r="F12" s="101"/>
      <c r="G12" s="101"/>
      <c r="H12" s="101"/>
      <c r="I12" s="101"/>
    </row>
    <row r="13" spans="1:10" ht="26.45" customHeight="1">
      <c r="A13" s="2" t="s">
        <v>6</v>
      </c>
      <c r="B13" s="102" t="s">
        <v>19</v>
      </c>
      <c r="C13" s="103"/>
      <c r="D13" s="2" t="s">
        <v>23</v>
      </c>
      <c r="E13" s="102" t="s">
        <v>37</v>
      </c>
      <c r="F13" s="103"/>
      <c r="G13" s="2" t="s">
        <v>38</v>
      </c>
      <c r="H13" s="102" t="s">
        <v>55</v>
      </c>
      <c r="I13" s="103"/>
      <c r="J13" s="17"/>
    </row>
    <row r="14" spans="1:10" ht="15.2" customHeight="1">
      <c r="A14" s="3" t="s">
        <v>7</v>
      </c>
      <c r="B14" s="8" t="s">
        <v>20</v>
      </c>
      <c r="C14" s="12">
        <f>SUM('Stavební rozpočet (SO 02)'!AB12:AB721)</f>
        <v>0</v>
      </c>
      <c r="D14" s="104" t="s">
        <v>24</v>
      </c>
      <c r="E14" s="105"/>
      <c r="F14" s="12">
        <v>0</v>
      </c>
      <c r="G14" s="104" t="s">
        <v>39</v>
      </c>
      <c r="H14" s="105"/>
      <c r="I14" s="12">
        <v>0</v>
      </c>
      <c r="J14" s="17"/>
    </row>
    <row r="15" spans="1:10" ht="15.2" customHeight="1">
      <c r="A15" s="4"/>
      <c r="B15" s="8" t="s">
        <v>21</v>
      </c>
      <c r="C15" s="12">
        <f>SUM('Stavební rozpočet (SO 02)'!AC12:AC721)</f>
        <v>0</v>
      </c>
      <c r="D15" s="104" t="s">
        <v>25</v>
      </c>
      <c r="E15" s="105"/>
      <c r="F15" s="12">
        <v>0</v>
      </c>
      <c r="G15" s="104" t="s">
        <v>40</v>
      </c>
      <c r="H15" s="105"/>
      <c r="I15" s="12">
        <v>0</v>
      </c>
      <c r="J15" s="17"/>
    </row>
    <row r="16" spans="1:10" ht="15.2" customHeight="1">
      <c r="A16" s="3" t="s">
        <v>8</v>
      </c>
      <c r="B16" s="8" t="s">
        <v>20</v>
      </c>
      <c r="C16" s="12">
        <f>SUM('Stavební rozpočet (SO 02)'!AD12:AD721)</f>
        <v>0</v>
      </c>
      <c r="D16" s="104" t="s">
        <v>26</v>
      </c>
      <c r="E16" s="105"/>
      <c r="F16" s="12">
        <v>0</v>
      </c>
      <c r="G16" s="104" t="s">
        <v>41</v>
      </c>
      <c r="H16" s="105"/>
      <c r="I16" s="12">
        <v>0</v>
      </c>
      <c r="J16" s="17"/>
    </row>
    <row r="17" spans="1:10" ht="15.2" customHeight="1">
      <c r="A17" s="4"/>
      <c r="B17" s="8" t="s">
        <v>21</v>
      </c>
      <c r="C17" s="12">
        <f>SUM('Stavební rozpočet (SO 02)'!AE12:AE721)</f>
        <v>0</v>
      </c>
      <c r="D17" s="104"/>
      <c r="E17" s="105"/>
      <c r="F17" s="13"/>
      <c r="G17" s="104" t="s">
        <v>42</v>
      </c>
      <c r="H17" s="105"/>
      <c r="I17" s="12">
        <v>0</v>
      </c>
      <c r="J17" s="17"/>
    </row>
    <row r="18" spans="1:10" ht="15.2" customHeight="1">
      <c r="A18" s="3" t="s">
        <v>9</v>
      </c>
      <c r="B18" s="8" t="s">
        <v>20</v>
      </c>
      <c r="C18" s="12">
        <f>SUM('Stavební rozpočet (SO 02)'!AF12:AF721)</f>
        <v>0</v>
      </c>
      <c r="D18" s="104"/>
      <c r="E18" s="105"/>
      <c r="F18" s="13"/>
      <c r="G18" s="104" t="s">
        <v>43</v>
      </c>
      <c r="H18" s="105"/>
      <c r="I18" s="12">
        <v>0</v>
      </c>
      <c r="J18" s="17"/>
    </row>
    <row r="19" spans="1:10" ht="15.2" customHeight="1">
      <c r="A19" s="4"/>
      <c r="B19" s="8" t="s">
        <v>21</v>
      </c>
      <c r="C19" s="12">
        <f>SUM('Stavební rozpočet (SO 02)'!AG12:AG721)</f>
        <v>0</v>
      </c>
      <c r="D19" s="104"/>
      <c r="E19" s="105"/>
      <c r="F19" s="13"/>
      <c r="G19" s="104" t="s">
        <v>44</v>
      </c>
      <c r="H19" s="105"/>
      <c r="I19" s="12">
        <v>0</v>
      </c>
      <c r="J19" s="17"/>
    </row>
    <row r="20" spans="1:10" ht="15.2" customHeight="1">
      <c r="A20" s="106" t="s">
        <v>10</v>
      </c>
      <c r="B20" s="107"/>
      <c r="C20" s="12">
        <f>SUM('Stavební rozpočet (SO 02)'!AH12:AH721)</f>
        <v>0</v>
      </c>
      <c r="D20" s="104"/>
      <c r="E20" s="105"/>
      <c r="F20" s="13"/>
      <c r="G20" s="104"/>
      <c r="H20" s="105"/>
      <c r="I20" s="13"/>
      <c r="J20" s="17"/>
    </row>
    <row r="21" spans="1:10" ht="15.2" customHeight="1">
      <c r="A21" s="106" t="s">
        <v>11</v>
      </c>
      <c r="B21" s="107"/>
      <c r="C21" s="12">
        <f>SUM('Stavební rozpočet (SO 02)'!Z12:Z721)</f>
        <v>0</v>
      </c>
      <c r="D21" s="104"/>
      <c r="E21" s="105"/>
      <c r="F21" s="13"/>
      <c r="G21" s="104"/>
      <c r="H21" s="105"/>
      <c r="I21" s="13"/>
      <c r="J21" s="17"/>
    </row>
    <row r="22" spans="1:10" ht="16.7" customHeight="1">
      <c r="A22" s="106" t="s">
        <v>12</v>
      </c>
      <c r="B22" s="107"/>
      <c r="C22" s="12">
        <f>ROUND(SUM(C14:C21),1)</f>
        <v>0</v>
      </c>
      <c r="D22" s="106" t="s">
        <v>27</v>
      </c>
      <c r="E22" s="107"/>
      <c r="F22" s="12">
        <f>SUM(F14:F21)</f>
        <v>0</v>
      </c>
      <c r="G22" s="106" t="s">
        <v>45</v>
      </c>
      <c r="H22" s="107"/>
      <c r="I22" s="12">
        <f>SUM(I14:I21)</f>
        <v>0</v>
      </c>
      <c r="J22" s="17"/>
    </row>
    <row r="23" spans="1:9" ht="15.2" customHeight="1">
      <c r="A23" s="5"/>
      <c r="B23" s="5"/>
      <c r="C23" s="5"/>
      <c r="D23" s="5"/>
      <c r="E23" s="5"/>
      <c r="F23" s="10"/>
      <c r="G23" s="106" t="s">
        <v>47</v>
      </c>
      <c r="H23" s="107"/>
      <c r="I23" s="69"/>
    </row>
    <row r="24" spans="1:8" ht="12.75">
      <c r="A24" s="1"/>
      <c r="B24" s="1"/>
      <c r="C24" s="1"/>
      <c r="G24" s="5"/>
      <c r="H24" s="5"/>
    </row>
    <row r="25" spans="1:9" ht="15.2" customHeight="1">
      <c r="A25" s="108" t="s">
        <v>13</v>
      </c>
      <c r="B25" s="109"/>
      <c r="C25" s="19">
        <f>ROUND(SUM('Stavební rozpočet (SO 02)'!AJ12:AJ721),1)</f>
        <v>0</v>
      </c>
      <c r="D25" s="11"/>
      <c r="E25" s="1"/>
      <c r="F25" s="1"/>
      <c r="G25" s="1"/>
      <c r="H25" s="1"/>
      <c r="I25" s="1"/>
    </row>
    <row r="26" spans="1:10" ht="15.2" customHeight="1">
      <c r="A26" s="108" t="s">
        <v>14</v>
      </c>
      <c r="B26" s="109"/>
      <c r="C26" s="19">
        <f>ROUND(SUM('Stavební rozpočet (SO 02)'!AK12:AK721),1)</f>
        <v>0</v>
      </c>
      <c r="D26" s="108" t="s">
        <v>29</v>
      </c>
      <c r="E26" s="109"/>
      <c r="F26" s="19">
        <f>ROUND(C26*(15/100),2)</f>
        <v>0</v>
      </c>
      <c r="G26" s="108" t="s">
        <v>49</v>
      </c>
      <c r="H26" s="109"/>
      <c r="I26" s="19">
        <f>ROUND(SUM(C25:C27),1)</f>
        <v>0</v>
      </c>
      <c r="J26" s="17"/>
    </row>
    <row r="27" spans="1:10" ht="15.2" customHeight="1">
      <c r="A27" s="108" t="s">
        <v>15</v>
      </c>
      <c r="B27" s="109"/>
      <c r="C27" s="19">
        <f>ROUND(SUM('Stavební rozpočet (SO 02)'!AL12:AL721)+(F22+I22+F23+I23+I24),1)</f>
        <v>0</v>
      </c>
      <c r="D27" s="108" t="s">
        <v>30</v>
      </c>
      <c r="E27" s="109"/>
      <c r="F27" s="19">
        <f>ROUND(C27*(21/100),2)</f>
        <v>0</v>
      </c>
      <c r="G27" s="108" t="s">
        <v>50</v>
      </c>
      <c r="H27" s="109"/>
      <c r="I27" s="19">
        <f>ROUND(SUM(F26:F27)+I26,1)</f>
        <v>0</v>
      </c>
      <c r="J27" s="17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10" ht="14.45" customHeight="1">
      <c r="A29" s="110" t="s">
        <v>16</v>
      </c>
      <c r="B29" s="111"/>
      <c r="C29" s="112"/>
      <c r="D29" s="110" t="s">
        <v>31</v>
      </c>
      <c r="E29" s="111"/>
      <c r="F29" s="112"/>
      <c r="G29" s="110" t="s">
        <v>51</v>
      </c>
      <c r="H29" s="111"/>
      <c r="I29" s="112"/>
      <c r="J29" s="18"/>
    </row>
    <row r="30" spans="1:10" ht="14.45" customHeight="1">
      <c r="A30" s="113"/>
      <c r="B30" s="114"/>
      <c r="C30" s="115"/>
      <c r="D30" s="113"/>
      <c r="E30" s="114"/>
      <c r="F30" s="115"/>
      <c r="G30" s="113"/>
      <c r="H30" s="114"/>
      <c r="I30" s="115"/>
      <c r="J30" s="18"/>
    </row>
    <row r="31" spans="1:10" ht="14.45" customHeight="1">
      <c r="A31" s="113"/>
      <c r="B31" s="114"/>
      <c r="C31" s="115"/>
      <c r="D31" s="113"/>
      <c r="E31" s="114"/>
      <c r="F31" s="115"/>
      <c r="G31" s="113"/>
      <c r="H31" s="114"/>
      <c r="I31" s="115"/>
      <c r="J31" s="18"/>
    </row>
    <row r="32" spans="1:10" ht="14.45" customHeight="1">
      <c r="A32" s="113"/>
      <c r="B32" s="114"/>
      <c r="C32" s="115"/>
      <c r="D32" s="113"/>
      <c r="E32" s="114"/>
      <c r="F32" s="115"/>
      <c r="G32" s="113"/>
      <c r="H32" s="114"/>
      <c r="I32" s="115"/>
      <c r="J32" s="18"/>
    </row>
    <row r="33" spans="1:10" ht="14.45" customHeight="1">
      <c r="A33" s="116" t="s">
        <v>17</v>
      </c>
      <c r="B33" s="117"/>
      <c r="C33" s="118"/>
      <c r="D33" s="116" t="s">
        <v>17</v>
      </c>
      <c r="E33" s="117"/>
      <c r="F33" s="118"/>
      <c r="G33" s="116" t="s">
        <v>17</v>
      </c>
      <c r="H33" s="117"/>
      <c r="I33" s="118"/>
      <c r="J33" s="18"/>
    </row>
    <row r="34" spans="1:9" ht="11.25" customHeight="1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9" ht="12.75">
      <c r="A35" s="93"/>
      <c r="B35" s="85"/>
      <c r="C35" s="85"/>
      <c r="D35" s="85"/>
      <c r="E35" s="85"/>
      <c r="F35" s="85"/>
      <c r="G35" s="85"/>
      <c r="H35" s="85"/>
      <c r="I35" s="85"/>
    </row>
  </sheetData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G23:H23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16"/>
  <sheetViews>
    <sheetView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50.00390625" style="0" customWidth="1"/>
    <col min="10" max="10" width="4.28125" style="0" customWidth="1"/>
    <col min="11" max="11" width="12.8515625" style="0" customWidth="1"/>
    <col min="12" max="12" width="12.00390625" style="0" customWidth="1"/>
    <col min="13" max="13" width="14.28125" style="0" customWidth="1"/>
    <col min="25" max="64" width="12.140625" style="0" hidden="1" customWidth="1"/>
  </cols>
  <sheetData>
    <row r="1" spans="1:13" ht="72.95" customHeight="1">
      <c r="A1" s="119" t="s">
        <v>1054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12.75">
      <c r="A2" s="82" t="s">
        <v>0</v>
      </c>
      <c r="B2" s="83"/>
      <c r="C2" s="83"/>
      <c r="D2" s="86" t="str">
        <f>'Stavební rozpočet'!D2</f>
        <v>Rekonstrukce kanalizace a zpevněných ploch Hlavní náměstí 9-12; Krnov</v>
      </c>
      <c r="E2" s="133" t="s">
        <v>72</v>
      </c>
      <c r="F2" s="83"/>
      <c r="G2" s="89" t="str">
        <f>'Stavební rozpočet'!G2</f>
        <v xml:space="preserve"> </v>
      </c>
      <c r="H2" s="89" t="s">
        <v>32</v>
      </c>
      <c r="I2" s="89" t="str">
        <f>'Stavební rozpočet'!I2</f>
        <v> </v>
      </c>
      <c r="J2" s="83"/>
      <c r="K2" s="83"/>
      <c r="L2" s="83"/>
      <c r="M2" s="120"/>
      <c r="N2" s="17"/>
    </row>
    <row r="3" spans="1:14" ht="12.75">
      <c r="A3" s="84"/>
      <c r="B3" s="85"/>
      <c r="C3" s="85"/>
      <c r="D3" s="88"/>
      <c r="E3" s="85"/>
      <c r="F3" s="85"/>
      <c r="G3" s="85"/>
      <c r="H3" s="85"/>
      <c r="I3" s="85"/>
      <c r="J3" s="85"/>
      <c r="K3" s="85"/>
      <c r="L3" s="85"/>
      <c r="M3" s="91"/>
      <c r="N3" s="17"/>
    </row>
    <row r="4" spans="1:14" ht="12.75">
      <c r="A4" s="92" t="s">
        <v>1</v>
      </c>
      <c r="B4" s="85"/>
      <c r="C4" s="85"/>
      <c r="D4" s="93" t="str">
        <f>'Stavební rozpočet'!D4</f>
        <v xml:space="preserve"> </v>
      </c>
      <c r="E4" s="95" t="s">
        <v>3</v>
      </c>
      <c r="F4" s="85"/>
      <c r="G4" s="93" t="str">
        <f>'Stavební rozpočet'!G4</f>
        <v>08.11.2021</v>
      </c>
      <c r="H4" s="93" t="s">
        <v>33</v>
      </c>
      <c r="I4" s="93" t="str">
        <f>'Stavební rozpočet'!I4</f>
        <v>hProjekce - Libor Horák</v>
      </c>
      <c r="J4" s="85"/>
      <c r="K4" s="85"/>
      <c r="L4" s="85"/>
      <c r="M4" s="91"/>
      <c r="N4" s="17"/>
    </row>
    <row r="5" spans="1:14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91"/>
      <c r="N5" s="17"/>
    </row>
    <row r="6" spans="1:14" ht="12.75">
      <c r="A6" s="92" t="s">
        <v>2</v>
      </c>
      <c r="B6" s="85"/>
      <c r="C6" s="85"/>
      <c r="D6" s="93" t="str">
        <f>'Stavební rozpočet'!D6</f>
        <v>Krnov</v>
      </c>
      <c r="E6" s="95" t="s">
        <v>35</v>
      </c>
      <c r="F6" s="85"/>
      <c r="G6" s="93" t="str">
        <f>'Stavební rozpočet'!G6</f>
        <v xml:space="preserve"> </v>
      </c>
      <c r="H6" s="93" t="s">
        <v>34</v>
      </c>
      <c r="I6" s="93" t="str">
        <f>'Stavební rozpočet'!I6</f>
        <v> </v>
      </c>
      <c r="J6" s="85"/>
      <c r="K6" s="85"/>
      <c r="L6" s="85"/>
      <c r="M6" s="91"/>
      <c r="N6" s="17"/>
    </row>
    <row r="7" spans="1:14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91"/>
      <c r="N7" s="17"/>
    </row>
    <row r="8" spans="1:14" ht="12.75">
      <c r="A8" s="92" t="s">
        <v>4</v>
      </c>
      <c r="B8" s="85"/>
      <c r="C8" s="85"/>
      <c r="D8" s="93" t="str">
        <f>'Stavební rozpočet'!D8</f>
        <v xml:space="preserve"> </v>
      </c>
      <c r="E8" s="95" t="s">
        <v>73</v>
      </c>
      <c r="F8" s="85"/>
      <c r="G8" s="93" t="str">
        <f>'Stavební rozpočet'!G8</f>
        <v>08.11.2021</v>
      </c>
      <c r="H8" s="93" t="s">
        <v>36</v>
      </c>
      <c r="I8" s="93" t="str">
        <f>'Stavební rozpočet'!I8</f>
        <v> </v>
      </c>
      <c r="J8" s="85"/>
      <c r="K8" s="85"/>
      <c r="L8" s="85"/>
      <c r="M8" s="91"/>
      <c r="N8" s="17"/>
    </row>
    <row r="9" spans="1:14" ht="12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  <c r="N9" s="17"/>
    </row>
    <row r="10" spans="1:64" ht="12.75">
      <c r="A10" s="34" t="s">
        <v>79</v>
      </c>
      <c r="B10" s="41" t="s">
        <v>60</v>
      </c>
      <c r="C10" s="41" t="s">
        <v>263</v>
      </c>
      <c r="D10" s="134" t="s">
        <v>430</v>
      </c>
      <c r="E10" s="135"/>
      <c r="F10" s="135"/>
      <c r="G10" s="135"/>
      <c r="H10" s="135"/>
      <c r="I10" s="136"/>
      <c r="J10" s="41" t="s">
        <v>967</v>
      </c>
      <c r="K10" s="52" t="s">
        <v>978</v>
      </c>
      <c r="L10" s="55" t="s">
        <v>979</v>
      </c>
      <c r="M10" s="26" t="s">
        <v>75</v>
      </c>
      <c r="N10" s="18"/>
      <c r="BK10" s="58" t="s">
        <v>1045</v>
      </c>
      <c r="BL10" s="62" t="s">
        <v>1048</v>
      </c>
    </row>
    <row r="11" spans="1:62" ht="12.75">
      <c r="A11" s="35" t="s">
        <v>59</v>
      </c>
      <c r="B11" s="42" t="s">
        <v>59</v>
      </c>
      <c r="C11" s="42" t="s">
        <v>59</v>
      </c>
      <c r="D11" s="127" t="s">
        <v>431</v>
      </c>
      <c r="E11" s="128"/>
      <c r="F11" s="128"/>
      <c r="G11" s="128"/>
      <c r="H11" s="128"/>
      <c r="I11" s="129"/>
      <c r="J11" s="42" t="s">
        <v>59</v>
      </c>
      <c r="K11" s="42" t="s">
        <v>59</v>
      </c>
      <c r="L11" s="56" t="s">
        <v>980</v>
      </c>
      <c r="M11" s="27" t="s">
        <v>76</v>
      </c>
      <c r="N11" s="18"/>
      <c r="Z11" s="58" t="s">
        <v>981</v>
      </c>
      <c r="AA11" s="58" t="s">
        <v>982</v>
      </c>
      <c r="AB11" s="58" t="s">
        <v>983</v>
      </c>
      <c r="AC11" s="58" t="s">
        <v>984</v>
      </c>
      <c r="AD11" s="58" t="s">
        <v>985</v>
      </c>
      <c r="AE11" s="58" t="s">
        <v>986</v>
      </c>
      <c r="AF11" s="58" t="s">
        <v>987</v>
      </c>
      <c r="AG11" s="58" t="s">
        <v>988</v>
      </c>
      <c r="AH11" s="58" t="s">
        <v>989</v>
      </c>
      <c r="BH11" s="58" t="s">
        <v>1042</v>
      </c>
      <c r="BI11" s="58" t="s">
        <v>1043</v>
      </c>
      <c r="BJ11" s="58" t="s">
        <v>1044</v>
      </c>
    </row>
    <row r="12" spans="1:14" ht="12.75">
      <c r="A12" s="36"/>
      <c r="B12" s="43" t="s">
        <v>63</v>
      </c>
      <c r="C12" s="43"/>
      <c r="D12" s="137" t="s">
        <v>69</v>
      </c>
      <c r="E12" s="138"/>
      <c r="F12" s="138"/>
      <c r="G12" s="138"/>
      <c r="H12" s="138"/>
      <c r="I12" s="138"/>
      <c r="J12" s="49" t="s">
        <v>59</v>
      </c>
      <c r="K12" s="49" t="s">
        <v>59</v>
      </c>
      <c r="L12" s="49" t="s">
        <v>59</v>
      </c>
      <c r="M12" s="63">
        <f>M13+M29+M35+M44+M55+M63+M75+M78+M85+M88</f>
        <v>0</v>
      </c>
      <c r="N12" s="17"/>
    </row>
    <row r="13" spans="1:47" ht="12.75">
      <c r="A13" s="37"/>
      <c r="B13" s="44" t="s">
        <v>63</v>
      </c>
      <c r="C13" s="44" t="s">
        <v>90</v>
      </c>
      <c r="D13" s="139" t="s">
        <v>432</v>
      </c>
      <c r="E13" s="140"/>
      <c r="F13" s="140"/>
      <c r="G13" s="140"/>
      <c r="H13" s="140"/>
      <c r="I13" s="140"/>
      <c r="J13" s="50" t="s">
        <v>59</v>
      </c>
      <c r="K13" s="50" t="s">
        <v>59</v>
      </c>
      <c r="L13" s="50" t="s">
        <v>59</v>
      </c>
      <c r="M13" s="64">
        <f>SUM(M14:M27)</f>
        <v>0</v>
      </c>
      <c r="N13" s="17"/>
      <c r="AI13" s="58" t="s">
        <v>63</v>
      </c>
      <c r="AS13" s="68">
        <f>SUM(AJ14:AJ27)</f>
        <v>0</v>
      </c>
      <c r="AT13" s="68">
        <f>SUM(AK14:AK27)</f>
        <v>0</v>
      </c>
      <c r="AU13" s="68">
        <f>SUM(AL14:AL27)</f>
        <v>0</v>
      </c>
    </row>
    <row r="14" spans="1:64" ht="12.75">
      <c r="A14" s="38" t="s">
        <v>80</v>
      </c>
      <c r="B14" s="45" t="s">
        <v>63</v>
      </c>
      <c r="C14" s="45" t="s">
        <v>387</v>
      </c>
      <c r="D14" s="141" t="s">
        <v>857</v>
      </c>
      <c r="E14" s="142"/>
      <c r="F14" s="142"/>
      <c r="G14" s="142"/>
      <c r="H14" s="142"/>
      <c r="I14" s="142"/>
      <c r="J14" s="45" t="s">
        <v>975</v>
      </c>
      <c r="K14" s="74">
        <f>'Stavební rozpočet'!K543</f>
        <v>1</v>
      </c>
      <c r="L14" s="53">
        <f>'Stavební rozpočet'!L543</f>
        <v>0</v>
      </c>
      <c r="M14" s="65">
        <f>K14*L14</f>
        <v>0</v>
      </c>
      <c r="N14" s="17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58" t="s">
        <v>63</v>
      </c>
      <c r="AJ14" s="53">
        <f>IF(AN14=0,M14,0)</f>
        <v>0</v>
      </c>
      <c r="AK14" s="53">
        <f>IF(AN14=15,M14,0)</f>
        <v>0</v>
      </c>
      <c r="AL14" s="53">
        <f>IF(AN14=21,M14,0)</f>
        <v>0</v>
      </c>
      <c r="AN14" s="33">
        <v>21</v>
      </c>
      <c r="AO14" s="33">
        <f>L14*0</f>
        <v>0</v>
      </c>
      <c r="AP14" s="33">
        <f>L14*(1-0)</f>
        <v>0</v>
      </c>
      <c r="AQ14" s="59" t="s">
        <v>80</v>
      </c>
      <c r="AV14" s="33">
        <f>AW14+AX14</f>
        <v>0</v>
      </c>
      <c r="AW14" s="33">
        <f>K14*AO14</f>
        <v>0</v>
      </c>
      <c r="AX14" s="33">
        <f>K14*AP14</f>
        <v>0</v>
      </c>
      <c r="AY14" s="61" t="s">
        <v>990</v>
      </c>
      <c r="AZ14" s="61" t="s">
        <v>1030</v>
      </c>
      <c r="BA14" s="58" t="s">
        <v>1039</v>
      </c>
      <c r="BC14" s="33">
        <f>AW14+AX14</f>
        <v>0</v>
      </c>
      <c r="BD14" s="33">
        <f>L14/(100-BE14)*100</f>
        <v>0</v>
      </c>
      <c r="BE14" s="33">
        <v>0</v>
      </c>
      <c r="BF14" s="33">
        <f>14</f>
        <v>14</v>
      </c>
      <c r="BH14" s="53">
        <f>K14*AO14</f>
        <v>0</v>
      </c>
      <c r="BI14" s="53">
        <f>K14*AP14</f>
        <v>0</v>
      </c>
      <c r="BJ14" s="53">
        <f>K14*L14</f>
        <v>0</v>
      </c>
      <c r="BK14" s="53" t="s">
        <v>1046</v>
      </c>
      <c r="BL14" s="33">
        <v>11</v>
      </c>
    </row>
    <row r="15" spans="1:14" ht="12.75">
      <c r="A15" s="17"/>
      <c r="D15" s="143" t="s">
        <v>858</v>
      </c>
      <c r="E15" s="144"/>
      <c r="F15" s="144"/>
      <c r="G15" s="144"/>
      <c r="H15" s="144"/>
      <c r="I15" s="144"/>
      <c r="K15" s="75">
        <v>1</v>
      </c>
      <c r="M15" s="14"/>
      <c r="N15" s="17"/>
    </row>
    <row r="16" spans="1:64" ht="12.75">
      <c r="A16" s="38" t="s">
        <v>81</v>
      </c>
      <c r="B16" s="45" t="s">
        <v>63</v>
      </c>
      <c r="C16" s="45" t="s">
        <v>388</v>
      </c>
      <c r="D16" s="141" t="s">
        <v>859</v>
      </c>
      <c r="E16" s="142"/>
      <c r="F16" s="142"/>
      <c r="G16" s="142"/>
      <c r="H16" s="142"/>
      <c r="I16" s="142"/>
      <c r="J16" s="45" t="s">
        <v>975</v>
      </c>
      <c r="K16" s="74">
        <f>'Stavební rozpočet'!K545</f>
        <v>1</v>
      </c>
      <c r="L16" s="53">
        <f>'Stavební rozpočet'!L545</f>
        <v>0</v>
      </c>
      <c r="M16" s="65">
        <f>K16*L16</f>
        <v>0</v>
      </c>
      <c r="N16" s="17"/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58" t="s">
        <v>63</v>
      </c>
      <c r="AJ16" s="53">
        <f>IF(AN16=0,M16,0)</f>
        <v>0</v>
      </c>
      <c r="AK16" s="53">
        <f>IF(AN16=15,M16,0)</f>
        <v>0</v>
      </c>
      <c r="AL16" s="53">
        <f>IF(AN16=21,M16,0)</f>
        <v>0</v>
      </c>
      <c r="AN16" s="33">
        <v>21</v>
      </c>
      <c r="AO16" s="33">
        <f>L16*0.00372958257713249</f>
        <v>0</v>
      </c>
      <c r="AP16" s="33">
        <f>L16*(1-0.00372958257713249)</f>
        <v>0</v>
      </c>
      <c r="AQ16" s="59" t="s">
        <v>80</v>
      </c>
      <c r="AV16" s="33">
        <f>AW16+AX16</f>
        <v>0</v>
      </c>
      <c r="AW16" s="33">
        <f>K16*AO16</f>
        <v>0</v>
      </c>
      <c r="AX16" s="33">
        <f>K16*AP16</f>
        <v>0</v>
      </c>
      <c r="AY16" s="61" t="s">
        <v>990</v>
      </c>
      <c r="AZ16" s="61" t="s">
        <v>1030</v>
      </c>
      <c r="BA16" s="58" t="s">
        <v>1039</v>
      </c>
      <c r="BC16" s="33">
        <f>AW16+AX16</f>
        <v>0</v>
      </c>
      <c r="BD16" s="33">
        <f>L16/(100-BE16)*100</f>
        <v>0</v>
      </c>
      <c r="BE16" s="33">
        <v>0</v>
      </c>
      <c r="BF16" s="33">
        <f>16</f>
        <v>16</v>
      </c>
      <c r="BH16" s="53">
        <f>K16*AO16</f>
        <v>0</v>
      </c>
      <c r="BI16" s="53">
        <f>K16*AP16</f>
        <v>0</v>
      </c>
      <c r="BJ16" s="53">
        <f>K16*L16</f>
        <v>0</v>
      </c>
      <c r="BK16" s="53" t="s">
        <v>1046</v>
      </c>
      <c r="BL16" s="33">
        <v>11</v>
      </c>
    </row>
    <row r="17" spans="1:14" ht="12.75">
      <c r="A17" s="17"/>
      <c r="D17" s="143" t="s">
        <v>663</v>
      </c>
      <c r="E17" s="144"/>
      <c r="F17" s="144"/>
      <c r="G17" s="144"/>
      <c r="H17" s="144"/>
      <c r="I17" s="144"/>
      <c r="K17" s="75">
        <v>1</v>
      </c>
      <c r="M17" s="14"/>
      <c r="N17" s="17"/>
    </row>
    <row r="18" spans="1:64" ht="12.75">
      <c r="A18" s="38" t="s">
        <v>82</v>
      </c>
      <c r="B18" s="45" t="s">
        <v>63</v>
      </c>
      <c r="C18" s="45" t="s">
        <v>389</v>
      </c>
      <c r="D18" s="141" t="s">
        <v>860</v>
      </c>
      <c r="E18" s="142"/>
      <c r="F18" s="142"/>
      <c r="G18" s="142"/>
      <c r="H18" s="142"/>
      <c r="I18" s="142"/>
      <c r="J18" s="45" t="s">
        <v>972</v>
      </c>
      <c r="K18" s="74">
        <f>'Stavební rozpočet'!K547</f>
        <v>715</v>
      </c>
      <c r="L18" s="53">
        <f>'Stavební rozpočet'!L547</f>
        <v>0</v>
      </c>
      <c r="M18" s="65">
        <f>K18*L18</f>
        <v>0</v>
      </c>
      <c r="N18" s="17"/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58" t="s">
        <v>63</v>
      </c>
      <c r="AJ18" s="53">
        <f>IF(AN18=0,M18,0)</f>
        <v>0</v>
      </c>
      <c r="AK18" s="53">
        <f>IF(AN18=15,M18,0)</f>
        <v>0</v>
      </c>
      <c r="AL18" s="53">
        <f>IF(AN18=21,M18,0)</f>
        <v>0</v>
      </c>
      <c r="AN18" s="33">
        <v>21</v>
      </c>
      <c r="AO18" s="33">
        <f>L18*0</f>
        <v>0</v>
      </c>
      <c r="AP18" s="33">
        <f>L18*(1-0)</f>
        <v>0</v>
      </c>
      <c r="AQ18" s="59" t="s">
        <v>80</v>
      </c>
      <c r="AV18" s="33">
        <f>AW18+AX18</f>
        <v>0</v>
      </c>
      <c r="AW18" s="33">
        <f>K18*AO18</f>
        <v>0</v>
      </c>
      <c r="AX18" s="33">
        <f>K18*AP18</f>
        <v>0</v>
      </c>
      <c r="AY18" s="61" t="s">
        <v>990</v>
      </c>
      <c r="AZ18" s="61" t="s">
        <v>1030</v>
      </c>
      <c r="BA18" s="58" t="s">
        <v>1039</v>
      </c>
      <c r="BC18" s="33">
        <f>AW18+AX18</f>
        <v>0</v>
      </c>
      <c r="BD18" s="33">
        <f>L18/(100-BE18)*100</f>
        <v>0</v>
      </c>
      <c r="BE18" s="33">
        <v>0</v>
      </c>
      <c r="BF18" s="33">
        <f>18</f>
        <v>18</v>
      </c>
      <c r="BH18" s="53">
        <f>K18*AO18</f>
        <v>0</v>
      </c>
      <c r="BI18" s="53">
        <f>K18*AP18</f>
        <v>0</v>
      </c>
      <c r="BJ18" s="53">
        <f>K18*L18</f>
        <v>0</v>
      </c>
      <c r="BK18" s="53" t="s">
        <v>1046</v>
      </c>
      <c r="BL18" s="33">
        <v>11</v>
      </c>
    </row>
    <row r="19" spans="1:14" ht="12.75">
      <c r="A19" s="17"/>
      <c r="D19" s="143" t="s">
        <v>861</v>
      </c>
      <c r="E19" s="144"/>
      <c r="F19" s="144"/>
      <c r="G19" s="144"/>
      <c r="H19" s="144"/>
      <c r="I19" s="144"/>
      <c r="K19" s="75">
        <v>715</v>
      </c>
      <c r="M19" s="14"/>
      <c r="N19" s="17"/>
    </row>
    <row r="20" spans="1:64" ht="12.75">
      <c r="A20" s="38" t="s">
        <v>83</v>
      </c>
      <c r="B20" s="45" t="s">
        <v>63</v>
      </c>
      <c r="C20" s="45" t="s">
        <v>390</v>
      </c>
      <c r="D20" s="141" t="s">
        <v>862</v>
      </c>
      <c r="E20" s="142"/>
      <c r="F20" s="142"/>
      <c r="G20" s="142"/>
      <c r="H20" s="142"/>
      <c r="I20" s="142"/>
      <c r="J20" s="45" t="s">
        <v>972</v>
      </c>
      <c r="K20" s="74">
        <f>'Stavební rozpočet'!K549</f>
        <v>78</v>
      </c>
      <c r="L20" s="53">
        <f>'Stavební rozpočet'!L549</f>
        <v>0</v>
      </c>
      <c r="M20" s="65">
        <f>K20*L20</f>
        <v>0</v>
      </c>
      <c r="N20" s="17"/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58" t="s">
        <v>63</v>
      </c>
      <c r="AJ20" s="53">
        <f>IF(AN20=0,M20,0)</f>
        <v>0</v>
      </c>
      <c r="AK20" s="53">
        <f>IF(AN20=15,M20,0)</f>
        <v>0</v>
      </c>
      <c r="AL20" s="53">
        <f>IF(AN20=21,M20,0)</f>
        <v>0</v>
      </c>
      <c r="AN20" s="33">
        <v>21</v>
      </c>
      <c r="AO20" s="33">
        <f>L20*0</f>
        <v>0</v>
      </c>
      <c r="AP20" s="33">
        <f>L20*(1-0)</f>
        <v>0</v>
      </c>
      <c r="AQ20" s="59" t="s">
        <v>80</v>
      </c>
      <c r="AV20" s="33">
        <f>AW20+AX20</f>
        <v>0</v>
      </c>
      <c r="AW20" s="33">
        <f>K20*AO20</f>
        <v>0</v>
      </c>
      <c r="AX20" s="33">
        <f>K20*AP20</f>
        <v>0</v>
      </c>
      <c r="AY20" s="61" t="s">
        <v>990</v>
      </c>
      <c r="AZ20" s="61" t="s">
        <v>1030</v>
      </c>
      <c r="BA20" s="58" t="s">
        <v>1039</v>
      </c>
      <c r="BC20" s="33">
        <f>AW20+AX20</f>
        <v>0</v>
      </c>
      <c r="BD20" s="33">
        <f>L20/(100-BE20)*100</f>
        <v>0</v>
      </c>
      <c r="BE20" s="33">
        <v>0</v>
      </c>
      <c r="BF20" s="33">
        <f>20</f>
        <v>20</v>
      </c>
      <c r="BH20" s="53">
        <f>K20*AO20</f>
        <v>0</v>
      </c>
      <c r="BI20" s="53">
        <f>K20*AP20</f>
        <v>0</v>
      </c>
      <c r="BJ20" s="53">
        <f>K20*L20</f>
        <v>0</v>
      </c>
      <c r="BK20" s="53" t="s">
        <v>1046</v>
      </c>
      <c r="BL20" s="33">
        <v>11</v>
      </c>
    </row>
    <row r="21" spans="1:14" ht="12.75">
      <c r="A21" s="17"/>
      <c r="D21" s="143" t="s">
        <v>863</v>
      </c>
      <c r="E21" s="144"/>
      <c r="F21" s="144"/>
      <c r="G21" s="144"/>
      <c r="H21" s="144"/>
      <c r="I21" s="144"/>
      <c r="K21" s="75">
        <v>78</v>
      </c>
      <c r="M21" s="14"/>
      <c r="N21" s="17"/>
    </row>
    <row r="22" spans="1:64" ht="12.75">
      <c r="A22" s="38" t="s">
        <v>84</v>
      </c>
      <c r="B22" s="45" t="s">
        <v>63</v>
      </c>
      <c r="C22" s="45" t="s">
        <v>391</v>
      </c>
      <c r="D22" s="141" t="s">
        <v>864</v>
      </c>
      <c r="E22" s="142"/>
      <c r="F22" s="142"/>
      <c r="G22" s="142"/>
      <c r="H22" s="142"/>
      <c r="I22" s="142"/>
      <c r="J22" s="45" t="s">
        <v>972</v>
      </c>
      <c r="K22" s="74">
        <f>'Stavební rozpočet'!K551</f>
        <v>670</v>
      </c>
      <c r="L22" s="53">
        <f>'Stavební rozpočet'!L551</f>
        <v>0</v>
      </c>
      <c r="M22" s="65">
        <f>K22*L22</f>
        <v>0</v>
      </c>
      <c r="N22" s="17"/>
      <c r="Z22" s="33">
        <f>IF(AQ22="5",BJ22,0)</f>
        <v>0</v>
      </c>
      <c r="AB22" s="33">
        <f>IF(AQ22="1",BH22,0)</f>
        <v>0</v>
      </c>
      <c r="AC22" s="33">
        <f>IF(AQ22="1",BI22,0)</f>
        <v>0</v>
      </c>
      <c r="AD22" s="33">
        <f>IF(AQ22="7",BH22,0)</f>
        <v>0</v>
      </c>
      <c r="AE22" s="33">
        <f>IF(AQ22="7",BI22,0)</f>
        <v>0</v>
      </c>
      <c r="AF22" s="33">
        <f>IF(AQ22="2",BH22,0)</f>
        <v>0</v>
      </c>
      <c r="AG22" s="33">
        <f>IF(AQ22="2",BI22,0)</f>
        <v>0</v>
      </c>
      <c r="AH22" s="33">
        <f>IF(AQ22="0",BJ22,0)</f>
        <v>0</v>
      </c>
      <c r="AI22" s="58" t="s">
        <v>63</v>
      </c>
      <c r="AJ22" s="53">
        <f>IF(AN22=0,M22,0)</f>
        <v>0</v>
      </c>
      <c r="AK22" s="53">
        <f>IF(AN22=15,M22,0)</f>
        <v>0</v>
      </c>
      <c r="AL22" s="53">
        <f>IF(AN22=21,M22,0)</f>
        <v>0</v>
      </c>
      <c r="AN22" s="33">
        <v>21</v>
      </c>
      <c r="AO22" s="33">
        <f>L22*0</f>
        <v>0</v>
      </c>
      <c r="AP22" s="33">
        <f>L22*(1-0)</f>
        <v>0</v>
      </c>
      <c r="AQ22" s="59" t="s">
        <v>80</v>
      </c>
      <c r="AV22" s="33">
        <f>AW22+AX22</f>
        <v>0</v>
      </c>
      <c r="AW22" s="33">
        <f>K22*AO22</f>
        <v>0</v>
      </c>
      <c r="AX22" s="33">
        <f>K22*AP22</f>
        <v>0</v>
      </c>
      <c r="AY22" s="61" t="s">
        <v>990</v>
      </c>
      <c r="AZ22" s="61" t="s">
        <v>1030</v>
      </c>
      <c r="BA22" s="58" t="s">
        <v>1039</v>
      </c>
      <c r="BC22" s="33">
        <f>AW22+AX22</f>
        <v>0</v>
      </c>
      <c r="BD22" s="33">
        <f>L22/(100-BE22)*100</f>
        <v>0</v>
      </c>
      <c r="BE22" s="33">
        <v>0</v>
      </c>
      <c r="BF22" s="33">
        <f>22</f>
        <v>22</v>
      </c>
      <c r="BH22" s="53">
        <f>K22*AO22</f>
        <v>0</v>
      </c>
      <c r="BI22" s="53">
        <f>K22*AP22</f>
        <v>0</v>
      </c>
      <c r="BJ22" s="53">
        <f>K22*L22</f>
        <v>0</v>
      </c>
      <c r="BK22" s="53" t="s">
        <v>1046</v>
      </c>
      <c r="BL22" s="33">
        <v>11</v>
      </c>
    </row>
    <row r="23" spans="1:14" ht="12.75">
      <c r="A23" s="17"/>
      <c r="D23" s="143" t="s">
        <v>865</v>
      </c>
      <c r="E23" s="144"/>
      <c r="F23" s="144"/>
      <c r="G23" s="144"/>
      <c r="H23" s="144"/>
      <c r="I23" s="144"/>
      <c r="K23" s="75">
        <v>670</v>
      </c>
      <c r="M23" s="14"/>
      <c r="N23" s="17"/>
    </row>
    <row r="24" spans="1:64" ht="12.75">
      <c r="A24" s="38" t="s">
        <v>85</v>
      </c>
      <c r="B24" s="45" t="s">
        <v>63</v>
      </c>
      <c r="C24" s="45" t="s">
        <v>264</v>
      </c>
      <c r="D24" s="141" t="s">
        <v>433</v>
      </c>
      <c r="E24" s="142"/>
      <c r="F24" s="142"/>
      <c r="G24" s="142"/>
      <c r="H24" s="142"/>
      <c r="I24" s="142"/>
      <c r="J24" s="45" t="s">
        <v>968</v>
      </c>
      <c r="K24" s="74">
        <f>'Stavební rozpočet'!K553</f>
        <v>104</v>
      </c>
      <c r="L24" s="53">
        <f>'Stavební rozpočet'!L553</f>
        <v>0</v>
      </c>
      <c r="M24" s="65">
        <f>K24*L24</f>
        <v>0</v>
      </c>
      <c r="N24" s="17"/>
      <c r="Z24" s="33">
        <f>IF(AQ24="5",BJ24,0)</f>
        <v>0</v>
      </c>
      <c r="AB24" s="33">
        <f>IF(AQ24="1",BH24,0)</f>
        <v>0</v>
      </c>
      <c r="AC24" s="33">
        <f>IF(AQ24="1",BI24,0)</f>
        <v>0</v>
      </c>
      <c r="AD24" s="33">
        <f>IF(AQ24="7",BH24,0)</f>
        <v>0</v>
      </c>
      <c r="AE24" s="33">
        <f>IF(AQ24="7",BI24,0)</f>
        <v>0</v>
      </c>
      <c r="AF24" s="33">
        <f>IF(AQ24="2",BH24,0)</f>
        <v>0</v>
      </c>
      <c r="AG24" s="33">
        <f>IF(AQ24="2",BI24,0)</f>
        <v>0</v>
      </c>
      <c r="AH24" s="33">
        <f>IF(AQ24="0",BJ24,0)</f>
        <v>0</v>
      </c>
      <c r="AI24" s="58" t="s">
        <v>63</v>
      </c>
      <c r="AJ24" s="53">
        <f>IF(AN24=0,M24,0)</f>
        <v>0</v>
      </c>
      <c r="AK24" s="53">
        <f>IF(AN24=15,M24,0)</f>
        <v>0</v>
      </c>
      <c r="AL24" s="53">
        <f>IF(AN24=21,M24,0)</f>
        <v>0</v>
      </c>
      <c r="AN24" s="33">
        <v>21</v>
      </c>
      <c r="AO24" s="33">
        <f>L24*0</f>
        <v>0</v>
      </c>
      <c r="AP24" s="33">
        <f>L24*(1-0)</f>
        <v>0</v>
      </c>
      <c r="AQ24" s="59" t="s">
        <v>80</v>
      </c>
      <c r="AV24" s="33">
        <f>AW24+AX24</f>
        <v>0</v>
      </c>
      <c r="AW24" s="33">
        <f>K24*AO24</f>
        <v>0</v>
      </c>
      <c r="AX24" s="33">
        <f>K24*AP24</f>
        <v>0</v>
      </c>
      <c r="AY24" s="61" t="s">
        <v>990</v>
      </c>
      <c r="AZ24" s="61" t="s">
        <v>1030</v>
      </c>
      <c r="BA24" s="58" t="s">
        <v>1039</v>
      </c>
      <c r="BC24" s="33">
        <f>AW24+AX24</f>
        <v>0</v>
      </c>
      <c r="BD24" s="33">
        <f>L24/(100-BE24)*100</f>
        <v>0</v>
      </c>
      <c r="BE24" s="33">
        <v>0</v>
      </c>
      <c r="BF24" s="33">
        <f>24</f>
        <v>24</v>
      </c>
      <c r="BH24" s="53">
        <f>K24*AO24</f>
        <v>0</v>
      </c>
      <c r="BI24" s="53">
        <f>K24*AP24</f>
        <v>0</v>
      </c>
      <c r="BJ24" s="53">
        <f>K24*L24</f>
        <v>0</v>
      </c>
      <c r="BK24" s="53" t="s">
        <v>1046</v>
      </c>
      <c r="BL24" s="33">
        <v>11</v>
      </c>
    </row>
    <row r="25" spans="1:14" ht="12.75">
      <c r="A25" s="17"/>
      <c r="D25" s="143" t="s">
        <v>866</v>
      </c>
      <c r="E25" s="144"/>
      <c r="F25" s="144"/>
      <c r="G25" s="144"/>
      <c r="H25" s="144"/>
      <c r="I25" s="144"/>
      <c r="K25" s="75">
        <v>81</v>
      </c>
      <c r="M25" s="14"/>
      <c r="N25" s="17"/>
    </row>
    <row r="26" spans="1:14" ht="12.75">
      <c r="A26" s="17"/>
      <c r="D26" s="143" t="s">
        <v>867</v>
      </c>
      <c r="E26" s="144"/>
      <c r="F26" s="144"/>
      <c r="G26" s="144"/>
      <c r="H26" s="144"/>
      <c r="I26" s="144"/>
      <c r="K26" s="75">
        <v>23</v>
      </c>
      <c r="M26" s="14"/>
      <c r="N26" s="17"/>
    </row>
    <row r="27" spans="1:64" ht="12.75">
      <c r="A27" s="38" t="s">
        <v>86</v>
      </c>
      <c r="B27" s="45" t="s">
        <v>63</v>
      </c>
      <c r="C27" s="45" t="s">
        <v>392</v>
      </c>
      <c r="D27" s="141" t="s">
        <v>868</v>
      </c>
      <c r="E27" s="142"/>
      <c r="F27" s="142"/>
      <c r="G27" s="142"/>
      <c r="H27" s="142"/>
      <c r="I27" s="142"/>
      <c r="J27" s="45" t="s">
        <v>968</v>
      </c>
      <c r="K27" s="74">
        <f>'Stavební rozpočet'!K556</f>
        <v>38</v>
      </c>
      <c r="L27" s="53">
        <f>'Stavební rozpočet'!L556</f>
        <v>0</v>
      </c>
      <c r="M27" s="65">
        <f>K27*L27</f>
        <v>0</v>
      </c>
      <c r="N27" s="17"/>
      <c r="Z27" s="33">
        <f>IF(AQ27="5",BJ27,0)</f>
        <v>0</v>
      </c>
      <c r="AB27" s="33">
        <f>IF(AQ27="1",BH27,0)</f>
        <v>0</v>
      </c>
      <c r="AC27" s="33">
        <f>IF(AQ27="1",BI27,0)</f>
        <v>0</v>
      </c>
      <c r="AD27" s="33">
        <f>IF(AQ27="7",BH27,0)</f>
        <v>0</v>
      </c>
      <c r="AE27" s="33">
        <f>IF(AQ27="7",BI27,0)</f>
        <v>0</v>
      </c>
      <c r="AF27" s="33">
        <f>IF(AQ27="2",BH27,0)</f>
        <v>0</v>
      </c>
      <c r="AG27" s="33">
        <f>IF(AQ27="2",BI27,0)</f>
        <v>0</v>
      </c>
      <c r="AH27" s="33">
        <f>IF(AQ27="0",BJ27,0)</f>
        <v>0</v>
      </c>
      <c r="AI27" s="58" t="s">
        <v>63</v>
      </c>
      <c r="AJ27" s="53">
        <f>IF(AN27=0,M27,0)</f>
        <v>0</v>
      </c>
      <c r="AK27" s="53">
        <f>IF(AN27=15,M27,0)</f>
        <v>0</v>
      </c>
      <c r="AL27" s="53">
        <f>IF(AN27=21,M27,0)</f>
        <v>0</v>
      </c>
      <c r="AN27" s="33">
        <v>21</v>
      </c>
      <c r="AO27" s="33">
        <f>L27*0</f>
        <v>0</v>
      </c>
      <c r="AP27" s="33">
        <f>L27*(1-0)</f>
        <v>0</v>
      </c>
      <c r="AQ27" s="59" t="s">
        <v>80</v>
      </c>
      <c r="AV27" s="33">
        <f>AW27+AX27</f>
        <v>0</v>
      </c>
      <c r="AW27" s="33">
        <f>K27*AO27</f>
        <v>0</v>
      </c>
      <c r="AX27" s="33">
        <f>K27*AP27</f>
        <v>0</v>
      </c>
      <c r="AY27" s="61" t="s">
        <v>990</v>
      </c>
      <c r="AZ27" s="61" t="s">
        <v>1030</v>
      </c>
      <c r="BA27" s="58" t="s">
        <v>1039</v>
      </c>
      <c r="BC27" s="33">
        <f>AW27+AX27</f>
        <v>0</v>
      </c>
      <c r="BD27" s="33">
        <f>L27/(100-BE27)*100</f>
        <v>0</v>
      </c>
      <c r="BE27" s="33">
        <v>0</v>
      </c>
      <c r="BF27" s="33">
        <f>27</f>
        <v>27</v>
      </c>
      <c r="BH27" s="53">
        <f>K27*AO27</f>
        <v>0</v>
      </c>
      <c r="BI27" s="53">
        <f>K27*AP27</f>
        <v>0</v>
      </c>
      <c r="BJ27" s="53">
        <f>K27*L27</f>
        <v>0</v>
      </c>
      <c r="BK27" s="53" t="s">
        <v>1046</v>
      </c>
      <c r="BL27" s="33">
        <v>11</v>
      </c>
    </row>
    <row r="28" spans="1:14" ht="12.75">
      <c r="A28" s="17"/>
      <c r="D28" s="143" t="s">
        <v>869</v>
      </c>
      <c r="E28" s="144"/>
      <c r="F28" s="144"/>
      <c r="G28" s="144"/>
      <c r="H28" s="144"/>
      <c r="I28" s="144"/>
      <c r="K28" s="75">
        <v>38</v>
      </c>
      <c r="M28" s="14"/>
      <c r="N28" s="17"/>
    </row>
    <row r="29" spans="1:47" ht="12.75">
      <c r="A29" s="37"/>
      <c r="B29" s="44" t="s">
        <v>63</v>
      </c>
      <c r="C29" s="44" t="s">
        <v>198</v>
      </c>
      <c r="D29" s="139" t="s">
        <v>43</v>
      </c>
      <c r="E29" s="140"/>
      <c r="F29" s="140"/>
      <c r="G29" s="140"/>
      <c r="H29" s="140"/>
      <c r="I29" s="140"/>
      <c r="J29" s="50" t="s">
        <v>59</v>
      </c>
      <c r="K29" s="50" t="s">
        <v>59</v>
      </c>
      <c r="L29" s="50" t="s">
        <v>59</v>
      </c>
      <c r="M29" s="64">
        <f>SUM(M30:M30)</f>
        <v>0</v>
      </c>
      <c r="N29" s="17"/>
      <c r="AI29" s="58" t="s">
        <v>63</v>
      </c>
      <c r="AS29" s="68">
        <f>SUM(AJ30:AJ30)</f>
        <v>0</v>
      </c>
      <c r="AT29" s="68">
        <f>SUM(AK30:AK30)</f>
        <v>0</v>
      </c>
      <c r="AU29" s="68">
        <f>SUM(AL30:AL30)</f>
        <v>0</v>
      </c>
    </row>
    <row r="30" spans="1:64" ht="12.75">
      <c r="A30" s="38" t="s">
        <v>87</v>
      </c>
      <c r="B30" s="45" t="s">
        <v>63</v>
      </c>
      <c r="C30" s="45" t="s">
        <v>393</v>
      </c>
      <c r="D30" s="141" t="s">
        <v>870</v>
      </c>
      <c r="E30" s="142"/>
      <c r="F30" s="142"/>
      <c r="G30" s="142"/>
      <c r="H30" s="142"/>
      <c r="I30" s="142"/>
      <c r="J30" s="45" t="s">
        <v>973</v>
      </c>
      <c r="K30" s="74">
        <f>'Stavební rozpočet'!K559</f>
        <v>77.704</v>
      </c>
      <c r="L30" s="53">
        <f>'Stavební rozpočet'!L559</f>
        <v>0</v>
      </c>
      <c r="M30" s="65">
        <f>K30*L30</f>
        <v>0</v>
      </c>
      <c r="N30" s="17"/>
      <c r="Z30" s="33">
        <f>IF(AQ30="5",BJ30,0)</f>
        <v>0</v>
      </c>
      <c r="AB30" s="33">
        <f>IF(AQ30="1",BH30,0)</f>
        <v>0</v>
      </c>
      <c r="AC30" s="33">
        <f>IF(AQ30="1",BI30,0)</f>
        <v>0</v>
      </c>
      <c r="AD30" s="33">
        <f>IF(AQ30="7",BH30,0)</f>
        <v>0</v>
      </c>
      <c r="AE30" s="33">
        <f>IF(AQ30="7",BI30,0)</f>
        <v>0</v>
      </c>
      <c r="AF30" s="33">
        <f>IF(AQ30="2",BH30,0)</f>
        <v>0</v>
      </c>
      <c r="AG30" s="33">
        <f>IF(AQ30="2",BI30,0)</f>
        <v>0</v>
      </c>
      <c r="AH30" s="33">
        <f>IF(AQ30="0",BJ30,0)</f>
        <v>0</v>
      </c>
      <c r="AI30" s="58" t="s">
        <v>63</v>
      </c>
      <c r="AJ30" s="53">
        <f>IF(AN30=0,M30,0)</f>
        <v>0</v>
      </c>
      <c r="AK30" s="53">
        <f>IF(AN30=15,M30,0)</f>
        <v>0</v>
      </c>
      <c r="AL30" s="53">
        <f>IF(AN30=21,M30,0)</f>
        <v>0</v>
      </c>
      <c r="AN30" s="33">
        <v>21</v>
      </c>
      <c r="AO30" s="33">
        <f>L30*0</f>
        <v>0</v>
      </c>
      <c r="AP30" s="33">
        <f>L30*(1-0)</f>
        <v>0</v>
      </c>
      <c r="AQ30" s="59" t="s">
        <v>80</v>
      </c>
      <c r="AV30" s="33">
        <f>AW30+AX30</f>
        <v>0</v>
      </c>
      <c r="AW30" s="33">
        <f>K30*AO30</f>
        <v>0</v>
      </c>
      <c r="AX30" s="33">
        <f>K30*AP30</f>
        <v>0</v>
      </c>
      <c r="AY30" s="61" t="s">
        <v>1015</v>
      </c>
      <c r="AZ30" s="61" t="s">
        <v>1030</v>
      </c>
      <c r="BA30" s="58" t="s">
        <v>1039</v>
      </c>
      <c r="BC30" s="33">
        <f>AW30+AX30</f>
        <v>0</v>
      </c>
      <c r="BD30" s="33">
        <f>L30/(100-BE30)*100</f>
        <v>0</v>
      </c>
      <c r="BE30" s="33">
        <v>0</v>
      </c>
      <c r="BF30" s="33">
        <f>30</f>
        <v>30</v>
      </c>
      <c r="BH30" s="53">
        <f>K30*AO30</f>
        <v>0</v>
      </c>
      <c r="BI30" s="53">
        <f>K30*AP30</f>
        <v>0</v>
      </c>
      <c r="BJ30" s="53">
        <f>K30*L30</f>
        <v>0</v>
      </c>
      <c r="BK30" s="53" t="s">
        <v>1046</v>
      </c>
      <c r="BL30" s="33">
        <v>119</v>
      </c>
    </row>
    <row r="31" spans="1:14" ht="12.75">
      <c r="A31" s="17"/>
      <c r="D31" s="143" t="s">
        <v>871</v>
      </c>
      <c r="E31" s="144"/>
      <c r="F31" s="144"/>
      <c r="G31" s="144"/>
      <c r="H31" s="144"/>
      <c r="I31" s="144"/>
      <c r="K31" s="75">
        <v>38.483</v>
      </c>
      <c r="M31" s="14"/>
      <c r="N31" s="17"/>
    </row>
    <row r="32" spans="1:14" ht="12.75">
      <c r="A32" s="17"/>
      <c r="D32" s="143" t="s">
        <v>872</v>
      </c>
      <c r="E32" s="144"/>
      <c r="F32" s="144"/>
      <c r="G32" s="144"/>
      <c r="H32" s="144"/>
      <c r="I32" s="144"/>
      <c r="K32" s="75">
        <v>11.137</v>
      </c>
      <c r="M32" s="14"/>
      <c r="N32" s="17"/>
    </row>
    <row r="33" spans="1:14" ht="12.75">
      <c r="A33" s="17"/>
      <c r="D33" s="143" t="s">
        <v>873</v>
      </c>
      <c r="E33" s="144"/>
      <c r="F33" s="144"/>
      <c r="G33" s="144"/>
      <c r="H33" s="144"/>
      <c r="I33" s="144"/>
      <c r="K33" s="75">
        <v>20.864</v>
      </c>
      <c r="M33" s="14"/>
      <c r="N33" s="17"/>
    </row>
    <row r="34" spans="1:14" ht="12.75">
      <c r="A34" s="17"/>
      <c r="D34" s="143" t="s">
        <v>874</v>
      </c>
      <c r="E34" s="144"/>
      <c r="F34" s="144"/>
      <c r="G34" s="144"/>
      <c r="H34" s="144"/>
      <c r="I34" s="144"/>
      <c r="K34" s="75">
        <v>7.22</v>
      </c>
      <c r="M34" s="14"/>
      <c r="N34" s="17"/>
    </row>
    <row r="35" spans="1:47" ht="12.75">
      <c r="A35" s="37"/>
      <c r="B35" s="44" t="s">
        <v>63</v>
      </c>
      <c r="C35" s="44" t="s">
        <v>91</v>
      </c>
      <c r="D35" s="139" t="s">
        <v>875</v>
      </c>
      <c r="E35" s="140"/>
      <c r="F35" s="140"/>
      <c r="G35" s="140"/>
      <c r="H35" s="140"/>
      <c r="I35" s="140"/>
      <c r="J35" s="50" t="s">
        <v>59</v>
      </c>
      <c r="K35" s="50" t="s">
        <v>59</v>
      </c>
      <c r="L35" s="50" t="s">
        <v>59</v>
      </c>
      <c r="M35" s="64">
        <f>SUM(M36:M42)</f>
        <v>0</v>
      </c>
      <c r="N35" s="17"/>
      <c r="AI35" s="58" t="s">
        <v>63</v>
      </c>
      <c r="AS35" s="68">
        <f>SUM(AJ36:AJ42)</f>
        <v>0</v>
      </c>
      <c r="AT35" s="68">
        <f>SUM(AK36:AK42)</f>
        <v>0</v>
      </c>
      <c r="AU35" s="68">
        <f>SUM(AL36:AL42)</f>
        <v>0</v>
      </c>
    </row>
    <row r="36" spans="1:64" ht="12.75">
      <c r="A36" s="38" t="s">
        <v>88</v>
      </c>
      <c r="B36" s="45" t="s">
        <v>63</v>
      </c>
      <c r="C36" s="45" t="s">
        <v>394</v>
      </c>
      <c r="D36" s="141" t="s">
        <v>876</v>
      </c>
      <c r="E36" s="142"/>
      <c r="F36" s="142"/>
      <c r="G36" s="142"/>
      <c r="H36" s="142"/>
      <c r="I36" s="142"/>
      <c r="J36" s="45" t="s">
        <v>973</v>
      </c>
      <c r="K36" s="74">
        <f>'Stavební rozpočet'!K565</f>
        <v>26.088</v>
      </c>
      <c r="L36" s="53">
        <f>'Stavební rozpočet'!L565</f>
        <v>0</v>
      </c>
      <c r="M36" s="65">
        <f>K36*L36</f>
        <v>0</v>
      </c>
      <c r="N36" s="17"/>
      <c r="Z36" s="33">
        <f>IF(AQ36="5",BJ36,0)</f>
        <v>0</v>
      </c>
      <c r="AB36" s="33">
        <f>IF(AQ36="1",BH36,0)</f>
        <v>0</v>
      </c>
      <c r="AC36" s="33">
        <f>IF(AQ36="1",BI36,0)</f>
        <v>0</v>
      </c>
      <c r="AD36" s="33">
        <f>IF(AQ36="7",BH36,0)</f>
        <v>0</v>
      </c>
      <c r="AE36" s="33">
        <f>IF(AQ36="7",BI36,0)</f>
        <v>0</v>
      </c>
      <c r="AF36" s="33">
        <f>IF(AQ36="2",BH36,0)</f>
        <v>0</v>
      </c>
      <c r="AG36" s="33">
        <f>IF(AQ36="2",BI36,0)</f>
        <v>0</v>
      </c>
      <c r="AH36" s="33">
        <f>IF(AQ36="0",BJ36,0)</f>
        <v>0</v>
      </c>
      <c r="AI36" s="58" t="s">
        <v>63</v>
      </c>
      <c r="AJ36" s="53">
        <f>IF(AN36=0,M36,0)</f>
        <v>0</v>
      </c>
      <c r="AK36" s="53">
        <f>IF(AN36=15,M36,0)</f>
        <v>0</v>
      </c>
      <c r="AL36" s="53">
        <f>IF(AN36=21,M36,0)</f>
        <v>0</v>
      </c>
      <c r="AN36" s="33">
        <v>21</v>
      </c>
      <c r="AO36" s="33">
        <f>L36*0</f>
        <v>0</v>
      </c>
      <c r="AP36" s="33">
        <f>L36*(1-0)</f>
        <v>0</v>
      </c>
      <c r="AQ36" s="59" t="s">
        <v>80</v>
      </c>
      <c r="AV36" s="33">
        <f>AW36+AX36</f>
        <v>0</v>
      </c>
      <c r="AW36" s="33">
        <f>K36*AO36</f>
        <v>0</v>
      </c>
      <c r="AX36" s="33">
        <f>K36*AP36</f>
        <v>0</v>
      </c>
      <c r="AY36" s="61" t="s">
        <v>1016</v>
      </c>
      <c r="AZ36" s="61" t="s">
        <v>1030</v>
      </c>
      <c r="BA36" s="58" t="s">
        <v>1039</v>
      </c>
      <c r="BC36" s="33">
        <f>AW36+AX36</f>
        <v>0</v>
      </c>
      <c r="BD36" s="33">
        <f>L36/(100-BE36)*100</f>
        <v>0</v>
      </c>
      <c r="BE36" s="33">
        <v>0</v>
      </c>
      <c r="BF36" s="33">
        <f>36</f>
        <v>36</v>
      </c>
      <c r="BH36" s="53">
        <f>K36*AO36</f>
        <v>0</v>
      </c>
      <c r="BI36" s="53">
        <f>K36*AP36</f>
        <v>0</v>
      </c>
      <c r="BJ36" s="53">
        <f>K36*L36</f>
        <v>0</v>
      </c>
      <c r="BK36" s="53" t="s">
        <v>1046</v>
      </c>
      <c r="BL36" s="33">
        <v>12</v>
      </c>
    </row>
    <row r="37" spans="1:14" ht="12.75">
      <c r="A37" s="17"/>
      <c r="C37" s="48" t="s">
        <v>269</v>
      </c>
      <c r="D37" s="145" t="s">
        <v>877</v>
      </c>
      <c r="E37" s="146"/>
      <c r="F37" s="146"/>
      <c r="G37" s="146"/>
      <c r="H37" s="146"/>
      <c r="I37" s="146"/>
      <c r="J37" s="146"/>
      <c r="K37" s="146"/>
      <c r="L37" s="146"/>
      <c r="M37" s="147"/>
      <c r="N37" s="17"/>
    </row>
    <row r="38" spans="1:14" ht="12.75">
      <c r="A38" s="17"/>
      <c r="D38" s="143" t="s">
        <v>878</v>
      </c>
      <c r="E38" s="144"/>
      <c r="F38" s="144"/>
      <c r="G38" s="144"/>
      <c r="H38" s="144"/>
      <c r="I38" s="144"/>
      <c r="K38" s="75">
        <v>11.591</v>
      </c>
      <c r="M38" s="14"/>
      <c r="N38" s="17"/>
    </row>
    <row r="39" spans="1:14" ht="12.75">
      <c r="A39" s="17"/>
      <c r="D39" s="143" t="s">
        <v>879</v>
      </c>
      <c r="E39" s="144"/>
      <c r="F39" s="144"/>
      <c r="G39" s="144"/>
      <c r="H39" s="144"/>
      <c r="I39" s="144"/>
      <c r="K39" s="75">
        <v>5.055</v>
      </c>
      <c r="M39" s="14"/>
      <c r="N39" s="17"/>
    </row>
    <row r="40" spans="1:14" ht="12.75">
      <c r="A40" s="17"/>
      <c r="D40" s="143" t="s">
        <v>880</v>
      </c>
      <c r="E40" s="144"/>
      <c r="F40" s="144"/>
      <c r="G40" s="144"/>
      <c r="H40" s="144"/>
      <c r="I40" s="144"/>
      <c r="K40" s="75">
        <v>7.75</v>
      </c>
      <c r="M40" s="14"/>
      <c r="N40" s="17"/>
    </row>
    <row r="41" spans="1:14" ht="12.75">
      <c r="A41" s="17"/>
      <c r="D41" s="143" t="s">
        <v>881</v>
      </c>
      <c r="E41" s="144"/>
      <c r="F41" s="144"/>
      <c r="G41" s="144"/>
      <c r="H41" s="144"/>
      <c r="I41" s="144"/>
      <c r="K41" s="75">
        <v>1.692</v>
      </c>
      <c r="M41" s="14"/>
      <c r="N41" s="17"/>
    </row>
    <row r="42" spans="1:64" ht="12.75">
      <c r="A42" s="38" t="s">
        <v>89</v>
      </c>
      <c r="B42" s="45" t="s">
        <v>63</v>
      </c>
      <c r="C42" s="45" t="s">
        <v>395</v>
      </c>
      <c r="D42" s="141" t="s">
        <v>882</v>
      </c>
      <c r="E42" s="142"/>
      <c r="F42" s="142"/>
      <c r="G42" s="142"/>
      <c r="H42" s="142"/>
      <c r="I42" s="142"/>
      <c r="J42" s="45" t="s">
        <v>973</v>
      </c>
      <c r="K42" s="74">
        <f>'Stavební rozpočet'!K571</f>
        <v>4.8</v>
      </c>
      <c r="L42" s="53">
        <f>'Stavební rozpočet'!L571</f>
        <v>0</v>
      </c>
      <c r="M42" s="65">
        <f>K42*L42</f>
        <v>0</v>
      </c>
      <c r="N42" s="17"/>
      <c r="Z42" s="33">
        <f>IF(AQ42="5",BJ42,0)</f>
        <v>0</v>
      </c>
      <c r="AB42" s="33">
        <f>IF(AQ42="1",BH42,0)</f>
        <v>0</v>
      </c>
      <c r="AC42" s="33">
        <f>IF(AQ42="1",BI42,0)</f>
        <v>0</v>
      </c>
      <c r="AD42" s="33">
        <f>IF(AQ42="7",BH42,0)</f>
        <v>0</v>
      </c>
      <c r="AE42" s="33">
        <f>IF(AQ42="7",BI42,0)</f>
        <v>0</v>
      </c>
      <c r="AF42" s="33">
        <f>IF(AQ42="2",BH42,0)</f>
        <v>0</v>
      </c>
      <c r="AG42" s="33">
        <f>IF(AQ42="2",BI42,0)</f>
        <v>0</v>
      </c>
      <c r="AH42" s="33">
        <f>IF(AQ42="0",BJ42,0)</f>
        <v>0</v>
      </c>
      <c r="AI42" s="58" t="s">
        <v>63</v>
      </c>
      <c r="AJ42" s="53">
        <f>IF(AN42=0,M42,0)</f>
        <v>0</v>
      </c>
      <c r="AK42" s="53">
        <f>IF(AN42=15,M42,0)</f>
        <v>0</v>
      </c>
      <c r="AL42" s="53">
        <f>IF(AN42=21,M42,0)</f>
        <v>0</v>
      </c>
      <c r="AN42" s="33">
        <v>21</v>
      </c>
      <c r="AO42" s="33">
        <f>L42*0</f>
        <v>0</v>
      </c>
      <c r="AP42" s="33">
        <f>L42*(1-0)</f>
        <v>0</v>
      </c>
      <c r="AQ42" s="59" t="s">
        <v>80</v>
      </c>
      <c r="AV42" s="33">
        <f>AW42+AX42</f>
        <v>0</v>
      </c>
      <c r="AW42" s="33">
        <f>K42*AO42</f>
        <v>0</v>
      </c>
      <c r="AX42" s="33">
        <f>K42*AP42</f>
        <v>0</v>
      </c>
      <c r="AY42" s="61" t="s">
        <v>1016</v>
      </c>
      <c r="AZ42" s="61" t="s">
        <v>1030</v>
      </c>
      <c r="BA42" s="58" t="s">
        <v>1039</v>
      </c>
      <c r="BC42" s="33">
        <f>AW42+AX42</f>
        <v>0</v>
      </c>
      <c r="BD42" s="33">
        <f>L42/(100-BE42)*100</f>
        <v>0</v>
      </c>
      <c r="BE42" s="33">
        <v>0</v>
      </c>
      <c r="BF42" s="33">
        <f>42</f>
        <v>42</v>
      </c>
      <c r="BH42" s="53">
        <f>K42*AO42</f>
        <v>0</v>
      </c>
      <c r="BI42" s="53">
        <f>K42*AP42</f>
        <v>0</v>
      </c>
      <c r="BJ42" s="53">
        <f>K42*L42</f>
        <v>0</v>
      </c>
      <c r="BK42" s="53" t="s">
        <v>1046</v>
      </c>
      <c r="BL42" s="33">
        <v>12</v>
      </c>
    </row>
    <row r="43" spans="1:14" ht="12.75">
      <c r="A43" s="17"/>
      <c r="D43" s="143" t="s">
        <v>883</v>
      </c>
      <c r="E43" s="144"/>
      <c r="F43" s="144"/>
      <c r="G43" s="144"/>
      <c r="H43" s="144"/>
      <c r="I43" s="144"/>
      <c r="K43" s="75">
        <v>4.8</v>
      </c>
      <c r="M43" s="14"/>
      <c r="N43" s="17"/>
    </row>
    <row r="44" spans="1:47" ht="12.75">
      <c r="A44" s="37"/>
      <c r="B44" s="44" t="s">
        <v>63</v>
      </c>
      <c r="C44" s="44" t="s">
        <v>95</v>
      </c>
      <c r="D44" s="139" t="s">
        <v>528</v>
      </c>
      <c r="E44" s="140"/>
      <c r="F44" s="140"/>
      <c r="G44" s="140"/>
      <c r="H44" s="140"/>
      <c r="I44" s="140"/>
      <c r="J44" s="50" t="s">
        <v>59</v>
      </c>
      <c r="K44" s="50" t="s">
        <v>59</v>
      </c>
      <c r="L44" s="50" t="s">
        <v>59</v>
      </c>
      <c r="M44" s="64">
        <f>SUM(M45:M53)</f>
        <v>0</v>
      </c>
      <c r="N44" s="17"/>
      <c r="AI44" s="58" t="s">
        <v>63</v>
      </c>
      <c r="AS44" s="68">
        <f>SUM(AJ45:AJ53)</f>
        <v>0</v>
      </c>
      <c r="AT44" s="68">
        <f>SUM(AK45:AK53)</f>
        <v>0</v>
      </c>
      <c r="AU44" s="68">
        <f>SUM(AL45:AL53)</f>
        <v>0</v>
      </c>
    </row>
    <row r="45" spans="1:64" ht="12.75">
      <c r="A45" s="38" t="s">
        <v>90</v>
      </c>
      <c r="B45" s="45" t="s">
        <v>63</v>
      </c>
      <c r="C45" s="45" t="s">
        <v>396</v>
      </c>
      <c r="D45" s="141" t="s">
        <v>884</v>
      </c>
      <c r="E45" s="142"/>
      <c r="F45" s="142"/>
      <c r="G45" s="142"/>
      <c r="H45" s="142"/>
      <c r="I45" s="142"/>
      <c r="J45" s="45" t="s">
        <v>975</v>
      </c>
      <c r="K45" s="74">
        <f>'Stavební rozpočet'!K574</f>
        <v>1</v>
      </c>
      <c r="L45" s="53">
        <f>'Stavební rozpočet'!L574</f>
        <v>0</v>
      </c>
      <c r="M45" s="65">
        <f>K45*L45</f>
        <v>0</v>
      </c>
      <c r="N45" s="17"/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58" t="s">
        <v>63</v>
      </c>
      <c r="AJ45" s="53">
        <f>IF(AN45=0,M45,0)</f>
        <v>0</v>
      </c>
      <c r="AK45" s="53">
        <f>IF(AN45=15,M45,0)</f>
        <v>0</v>
      </c>
      <c r="AL45" s="53">
        <f>IF(AN45=21,M45,0)</f>
        <v>0</v>
      </c>
      <c r="AN45" s="33">
        <v>21</v>
      </c>
      <c r="AO45" s="33">
        <f>L45*0</f>
        <v>0</v>
      </c>
      <c r="AP45" s="33">
        <f>L45*(1-0)</f>
        <v>0</v>
      </c>
      <c r="AQ45" s="59" t="s">
        <v>80</v>
      </c>
      <c r="AV45" s="33">
        <f>AW45+AX45</f>
        <v>0</v>
      </c>
      <c r="AW45" s="33">
        <f>K45*AO45</f>
        <v>0</v>
      </c>
      <c r="AX45" s="33">
        <f>K45*AP45</f>
        <v>0</v>
      </c>
      <c r="AY45" s="61" t="s">
        <v>993</v>
      </c>
      <c r="AZ45" s="61" t="s">
        <v>1030</v>
      </c>
      <c r="BA45" s="58" t="s">
        <v>1039</v>
      </c>
      <c r="BC45" s="33">
        <f>AW45+AX45</f>
        <v>0</v>
      </c>
      <c r="BD45" s="33">
        <f>L45/(100-BE45)*100</f>
        <v>0</v>
      </c>
      <c r="BE45" s="33">
        <v>0</v>
      </c>
      <c r="BF45" s="33">
        <f>45</f>
        <v>45</v>
      </c>
      <c r="BH45" s="53">
        <f>K45*AO45</f>
        <v>0</v>
      </c>
      <c r="BI45" s="53">
        <f>K45*AP45</f>
        <v>0</v>
      </c>
      <c r="BJ45" s="53">
        <f>K45*L45</f>
        <v>0</v>
      </c>
      <c r="BK45" s="53" t="s">
        <v>1046</v>
      </c>
      <c r="BL45" s="33">
        <v>16</v>
      </c>
    </row>
    <row r="46" spans="1:14" ht="12.75">
      <c r="A46" s="17"/>
      <c r="D46" s="143" t="s">
        <v>663</v>
      </c>
      <c r="E46" s="144"/>
      <c r="F46" s="144"/>
      <c r="G46" s="144"/>
      <c r="H46" s="144"/>
      <c r="I46" s="144"/>
      <c r="K46" s="75">
        <v>1</v>
      </c>
      <c r="M46" s="14"/>
      <c r="N46" s="17"/>
    </row>
    <row r="47" spans="1:64" ht="12.75">
      <c r="A47" s="38" t="s">
        <v>91</v>
      </c>
      <c r="B47" s="45" t="s">
        <v>63</v>
      </c>
      <c r="C47" s="45" t="s">
        <v>397</v>
      </c>
      <c r="D47" s="141" t="s">
        <v>885</v>
      </c>
      <c r="E47" s="142"/>
      <c r="F47" s="142"/>
      <c r="G47" s="142"/>
      <c r="H47" s="142"/>
      <c r="I47" s="142"/>
      <c r="J47" s="45" t="s">
        <v>975</v>
      </c>
      <c r="K47" s="74">
        <f>'Stavební rozpočet'!K576</f>
        <v>1</v>
      </c>
      <c r="L47" s="53">
        <f>'Stavební rozpočet'!L576</f>
        <v>0</v>
      </c>
      <c r="M47" s="65">
        <f>K47*L47</f>
        <v>0</v>
      </c>
      <c r="N47" s="17"/>
      <c r="Z47" s="33">
        <f>IF(AQ47="5",BJ47,0)</f>
        <v>0</v>
      </c>
      <c r="AB47" s="33">
        <f>IF(AQ47="1",BH47,0)</f>
        <v>0</v>
      </c>
      <c r="AC47" s="33">
        <f>IF(AQ47="1",BI47,0)</f>
        <v>0</v>
      </c>
      <c r="AD47" s="33">
        <f>IF(AQ47="7",BH47,0)</f>
        <v>0</v>
      </c>
      <c r="AE47" s="33">
        <f>IF(AQ47="7",BI47,0)</f>
        <v>0</v>
      </c>
      <c r="AF47" s="33">
        <f>IF(AQ47="2",BH47,0)</f>
        <v>0</v>
      </c>
      <c r="AG47" s="33">
        <f>IF(AQ47="2",BI47,0)</f>
        <v>0</v>
      </c>
      <c r="AH47" s="33">
        <f>IF(AQ47="0",BJ47,0)</f>
        <v>0</v>
      </c>
      <c r="AI47" s="58" t="s">
        <v>63</v>
      </c>
      <c r="AJ47" s="53">
        <f>IF(AN47=0,M47,0)</f>
        <v>0</v>
      </c>
      <c r="AK47" s="53">
        <f>IF(AN47=15,M47,0)</f>
        <v>0</v>
      </c>
      <c r="AL47" s="53">
        <f>IF(AN47=21,M47,0)</f>
        <v>0</v>
      </c>
      <c r="AN47" s="33">
        <v>21</v>
      </c>
      <c r="AO47" s="33">
        <f>L47*0</f>
        <v>0</v>
      </c>
      <c r="AP47" s="33">
        <f>L47*(1-0)</f>
        <v>0</v>
      </c>
      <c r="AQ47" s="59" t="s">
        <v>80</v>
      </c>
      <c r="AV47" s="33">
        <f>AW47+AX47</f>
        <v>0</v>
      </c>
      <c r="AW47" s="33">
        <f>K47*AO47</f>
        <v>0</v>
      </c>
      <c r="AX47" s="33">
        <f>K47*AP47</f>
        <v>0</v>
      </c>
      <c r="AY47" s="61" t="s">
        <v>993</v>
      </c>
      <c r="AZ47" s="61" t="s">
        <v>1030</v>
      </c>
      <c r="BA47" s="58" t="s">
        <v>1039</v>
      </c>
      <c r="BC47" s="33">
        <f>AW47+AX47</f>
        <v>0</v>
      </c>
      <c r="BD47" s="33">
        <f>L47/(100-BE47)*100</f>
        <v>0</v>
      </c>
      <c r="BE47" s="33">
        <v>0</v>
      </c>
      <c r="BF47" s="33">
        <f>47</f>
        <v>47</v>
      </c>
      <c r="BH47" s="53">
        <f>K47*AO47</f>
        <v>0</v>
      </c>
      <c r="BI47" s="53">
        <f>K47*AP47</f>
        <v>0</v>
      </c>
      <c r="BJ47" s="53">
        <f>K47*L47</f>
        <v>0</v>
      </c>
      <c r="BK47" s="53" t="s">
        <v>1046</v>
      </c>
      <c r="BL47" s="33">
        <v>16</v>
      </c>
    </row>
    <row r="48" spans="1:14" ht="12.75">
      <c r="A48" s="17"/>
      <c r="D48" s="143" t="s">
        <v>663</v>
      </c>
      <c r="E48" s="144"/>
      <c r="F48" s="144"/>
      <c r="G48" s="144"/>
      <c r="H48" s="144"/>
      <c r="I48" s="144"/>
      <c r="K48" s="75">
        <v>1</v>
      </c>
      <c r="M48" s="14"/>
      <c r="N48" s="17"/>
    </row>
    <row r="49" spans="1:64" ht="12.75">
      <c r="A49" s="38" t="s">
        <v>92</v>
      </c>
      <c r="B49" s="45" t="s">
        <v>63</v>
      </c>
      <c r="C49" s="45" t="s">
        <v>398</v>
      </c>
      <c r="D49" s="141" t="s">
        <v>886</v>
      </c>
      <c r="E49" s="142"/>
      <c r="F49" s="142"/>
      <c r="G49" s="142"/>
      <c r="H49" s="142"/>
      <c r="I49" s="142"/>
      <c r="J49" s="45" t="s">
        <v>975</v>
      </c>
      <c r="K49" s="74">
        <f>'Stavební rozpočet'!K578</f>
        <v>1</v>
      </c>
      <c r="L49" s="53">
        <f>'Stavební rozpočet'!L578</f>
        <v>0</v>
      </c>
      <c r="M49" s="65">
        <f>K49*L49</f>
        <v>0</v>
      </c>
      <c r="N49" s="17"/>
      <c r="Z49" s="33">
        <f>IF(AQ49="5",BJ49,0)</f>
        <v>0</v>
      </c>
      <c r="AB49" s="33">
        <f>IF(AQ49="1",BH49,0)</f>
        <v>0</v>
      </c>
      <c r="AC49" s="33">
        <f>IF(AQ49="1",BI49,0)</f>
        <v>0</v>
      </c>
      <c r="AD49" s="33">
        <f>IF(AQ49="7",BH49,0)</f>
        <v>0</v>
      </c>
      <c r="AE49" s="33">
        <f>IF(AQ49="7",BI49,0)</f>
        <v>0</v>
      </c>
      <c r="AF49" s="33">
        <f>IF(AQ49="2",BH49,0)</f>
        <v>0</v>
      </c>
      <c r="AG49" s="33">
        <f>IF(AQ49="2",BI49,0)</f>
        <v>0</v>
      </c>
      <c r="AH49" s="33">
        <f>IF(AQ49="0",BJ49,0)</f>
        <v>0</v>
      </c>
      <c r="AI49" s="58" t="s">
        <v>63</v>
      </c>
      <c r="AJ49" s="53">
        <f>IF(AN49=0,M49,0)</f>
        <v>0</v>
      </c>
      <c r="AK49" s="53">
        <f>IF(AN49=15,M49,0)</f>
        <v>0</v>
      </c>
      <c r="AL49" s="53">
        <f>IF(AN49=21,M49,0)</f>
        <v>0</v>
      </c>
      <c r="AN49" s="33">
        <v>21</v>
      </c>
      <c r="AO49" s="33">
        <f>L49*0</f>
        <v>0</v>
      </c>
      <c r="AP49" s="33">
        <f>L49*(1-0)</f>
        <v>0</v>
      </c>
      <c r="AQ49" s="59" t="s">
        <v>80</v>
      </c>
      <c r="AV49" s="33">
        <f>AW49+AX49</f>
        <v>0</v>
      </c>
      <c r="AW49" s="33">
        <f>K49*AO49</f>
        <v>0</v>
      </c>
      <c r="AX49" s="33">
        <f>K49*AP49</f>
        <v>0</v>
      </c>
      <c r="AY49" s="61" t="s">
        <v>993</v>
      </c>
      <c r="AZ49" s="61" t="s">
        <v>1030</v>
      </c>
      <c r="BA49" s="58" t="s">
        <v>1039</v>
      </c>
      <c r="BC49" s="33">
        <f>AW49+AX49</f>
        <v>0</v>
      </c>
      <c r="BD49" s="33">
        <f>L49/(100-BE49)*100</f>
        <v>0</v>
      </c>
      <c r="BE49" s="33">
        <v>0</v>
      </c>
      <c r="BF49" s="33">
        <f>49</f>
        <v>49</v>
      </c>
      <c r="BH49" s="53">
        <f>K49*AO49</f>
        <v>0</v>
      </c>
      <c r="BI49" s="53">
        <f>K49*AP49</f>
        <v>0</v>
      </c>
      <c r="BJ49" s="53">
        <f>K49*L49</f>
        <v>0</v>
      </c>
      <c r="BK49" s="53" t="s">
        <v>1046</v>
      </c>
      <c r="BL49" s="33">
        <v>16</v>
      </c>
    </row>
    <row r="50" spans="1:14" ht="12.75">
      <c r="A50" s="17"/>
      <c r="D50" s="143" t="s">
        <v>663</v>
      </c>
      <c r="E50" s="144"/>
      <c r="F50" s="144"/>
      <c r="G50" s="144"/>
      <c r="H50" s="144"/>
      <c r="I50" s="144"/>
      <c r="K50" s="75">
        <v>1</v>
      </c>
      <c r="M50" s="14"/>
      <c r="N50" s="17"/>
    </row>
    <row r="51" spans="1:64" ht="12.75">
      <c r="A51" s="38" t="s">
        <v>93</v>
      </c>
      <c r="B51" s="45" t="s">
        <v>63</v>
      </c>
      <c r="C51" s="45" t="s">
        <v>279</v>
      </c>
      <c r="D51" s="141" t="s">
        <v>529</v>
      </c>
      <c r="E51" s="142"/>
      <c r="F51" s="142"/>
      <c r="G51" s="142"/>
      <c r="H51" s="142"/>
      <c r="I51" s="142"/>
      <c r="J51" s="45" t="s">
        <v>973</v>
      </c>
      <c r="K51" s="74">
        <f>'Stavební rozpočet'!K580</f>
        <v>31</v>
      </c>
      <c r="L51" s="53">
        <f>'Stavební rozpočet'!L580</f>
        <v>0</v>
      </c>
      <c r="M51" s="65">
        <f>K51*L51</f>
        <v>0</v>
      </c>
      <c r="N51" s="17"/>
      <c r="Z51" s="33">
        <f>IF(AQ51="5",BJ51,0)</f>
        <v>0</v>
      </c>
      <c r="AB51" s="33">
        <f>IF(AQ51="1",BH51,0)</f>
        <v>0</v>
      </c>
      <c r="AC51" s="33">
        <f>IF(AQ51="1",BI51,0)</f>
        <v>0</v>
      </c>
      <c r="AD51" s="33">
        <f>IF(AQ51="7",BH51,0)</f>
        <v>0</v>
      </c>
      <c r="AE51" s="33">
        <f>IF(AQ51="7",BI51,0)</f>
        <v>0</v>
      </c>
      <c r="AF51" s="33">
        <f>IF(AQ51="2",BH51,0)</f>
        <v>0</v>
      </c>
      <c r="AG51" s="33">
        <f>IF(AQ51="2",BI51,0)</f>
        <v>0</v>
      </c>
      <c r="AH51" s="33">
        <f>IF(AQ51="0",BJ51,0)</f>
        <v>0</v>
      </c>
      <c r="AI51" s="58" t="s">
        <v>63</v>
      </c>
      <c r="AJ51" s="53">
        <f>IF(AN51=0,M51,0)</f>
        <v>0</v>
      </c>
      <c r="AK51" s="53">
        <f>IF(AN51=15,M51,0)</f>
        <v>0</v>
      </c>
      <c r="AL51" s="53">
        <f>IF(AN51=21,M51,0)</f>
        <v>0</v>
      </c>
      <c r="AN51" s="33">
        <v>21</v>
      </c>
      <c r="AO51" s="33">
        <f>L51*0</f>
        <v>0</v>
      </c>
      <c r="AP51" s="33">
        <f>L51*(1-0)</f>
        <v>0</v>
      </c>
      <c r="AQ51" s="59" t="s">
        <v>80</v>
      </c>
      <c r="AV51" s="33">
        <f>AW51+AX51</f>
        <v>0</v>
      </c>
      <c r="AW51" s="33">
        <f>K51*AO51</f>
        <v>0</v>
      </c>
      <c r="AX51" s="33">
        <f>K51*AP51</f>
        <v>0</v>
      </c>
      <c r="AY51" s="61" t="s">
        <v>993</v>
      </c>
      <c r="AZ51" s="61" t="s">
        <v>1030</v>
      </c>
      <c r="BA51" s="58" t="s">
        <v>1039</v>
      </c>
      <c r="BC51" s="33">
        <f>AW51+AX51</f>
        <v>0</v>
      </c>
      <c r="BD51" s="33">
        <f>L51/(100-BE51)*100</f>
        <v>0</v>
      </c>
      <c r="BE51" s="33">
        <v>0</v>
      </c>
      <c r="BF51" s="33">
        <f>51</f>
        <v>51</v>
      </c>
      <c r="BH51" s="53">
        <f>K51*AO51</f>
        <v>0</v>
      </c>
      <c r="BI51" s="53">
        <f>K51*AP51</f>
        <v>0</v>
      </c>
      <c r="BJ51" s="53">
        <f>K51*L51</f>
        <v>0</v>
      </c>
      <c r="BK51" s="53" t="s">
        <v>1046</v>
      </c>
      <c r="BL51" s="33">
        <v>16</v>
      </c>
    </row>
    <row r="52" spans="1:14" ht="12.75">
      <c r="A52" s="17"/>
      <c r="D52" s="143" t="s">
        <v>887</v>
      </c>
      <c r="E52" s="144"/>
      <c r="F52" s="144"/>
      <c r="G52" s="144"/>
      <c r="H52" s="144"/>
      <c r="I52" s="144"/>
      <c r="K52" s="75">
        <v>31</v>
      </c>
      <c r="M52" s="14"/>
      <c r="N52" s="17"/>
    </row>
    <row r="53" spans="1:64" ht="12.75">
      <c r="A53" s="38" t="s">
        <v>94</v>
      </c>
      <c r="B53" s="45" t="s">
        <v>63</v>
      </c>
      <c r="C53" s="45" t="s">
        <v>399</v>
      </c>
      <c r="D53" s="141" t="s">
        <v>888</v>
      </c>
      <c r="E53" s="142"/>
      <c r="F53" s="142"/>
      <c r="G53" s="142"/>
      <c r="H53" s="142"/>
      <c r="I53" s="142"/>
      <c r="J53" s="45" t="s">
        <v>973</v>
      </c>
      <c r="K53" s="74">
        <f>'Stavební rozpočet'!K582</f>
        <v>31</v>
      </c>
      <c r="L53" s="53">
        <f>'Stavební rozpočet'!L582</f>
        <v>0</v>
      </c>
      <c r="M53" s="65">
        <f>K53*L53</f>
        <v>0</v>
      </c>
      <c r="N53" s="17"/>
      <c r="Z53" s="33">
        <f>IF(AQ53="5",BJ53,0)</f>
        <v>0</v>
      </c>
      <c r="AB53" s="33">
        <f>IF(AQ53="1",BH53,0)</f>
        <v>0</v>
      </c>
      <c r="AC53" s="33">
        <f>IF(AQ53="1",BI53,0)</f>
        <v>0</v>
      </c>
      <c r="AD53" s="33">
        <f>IF(AQ53="7",BH53,0)</f>
        <v>0</v>
      </c>
      <c r="AE53" s="33">
        <f>IF(AQ53="7",BI53,0)</f>
        <v>0</v>
      </c>
      <c r="AF53" s="33">
        <f>IF(AQ53="2",BH53,0)</f>
        <v>0</v>
      </c>
      <c r="AG53" s="33">
        <f>IF(AQ53="2",BI53,0)</f>
        <v>0</v>
      </c>
      <c r="AH53" s="33">
        <f>IF(AQ53="0",BJ53,0)</f>
        <v>0</v>
      </c>
      <c r="AI53" s="58" t="s">
        <v>63</v>
      </c>
      <c r="AJ53" s="53">
        <f>IF(AN53=0,M53,0)</f>
        <v>0</v>
      </c>
      <c r="AK53" s="53">
        <f>IF(AN53=15,M53,0)</f>
        <v>0</v>
      </c>
      <c r="AL53" s="53">
        <f>IF(AN53=21,M53,0)</f>
        <v>0</v>
      </c>
      <c r="AN53" s="33">
        <v>21</v>
      </c>
      <c r="AO53" s="33">
        <f>L53*0</f>
        <v>0</v>
      </c>
      <c r="AP53" s="33">
        <f>L53*(1-0)</f>
        <v>0</v>
      </c>
      <c r="AQ53" s="59" t="s">
        <v>80</v>
      </c>
      <c r="AV53" s="33">
        <f>AW53+AX53</f>
        <v>0</v>
      </c>
      <c r="AW53" s="33">
        <f>K53*AO53</f>
        <v>0</v>
      </c>
      <c r="AX53" s="33">
        <f>K53*AP53</f>
        <v>0</v>
      </c>
      <c r="AY53" s="61" t="s">
        <v>993</v>
      </c>
      <c r="AZ53" s="61" t="s">
        <v>1030</v>
      </c>
      <c r="BA53" s="58" t="s">
        <v>1039</v>
      </c>
      <c r="BC53" s="33">
        <f>AW53+AX53</f>
        <v>0</v>
      </c>
      <c r="BD53" s="33">
        <f>L53/(100-BE53)*100</f>
        <v>0</v>
      </c>
      <c r="BE53" s="33">
        <v>0</v>
      </c>
      <c r="BF53" s="33">
        <f>53</f>
        <v>53</v>
      </c>
      <c r="BH53" s="53">
        <f>K53*AO53</f>
        <v>0</v>
      </c>
      <c r="BI53" s="53">
        <f>K53*AP53</f>
        <v>0</v>
      </c>
      <c r="BJ53" s="53">
        <f>K53*L53</f>
        <v>0</v>
      </c>
      <c r="BK53" s="53" t="s">
        <v>1046</v>
      </c>
      <c r="BL53" s="33">
        <v>16</v>
      </c>
    </row>
    <row r="54" spans="1:14" ht="12.75">
      <c r="A54" s="17"/>
      <c r="D54" s="143" t="s">
        <v>889</v>
      </c>
      <c r="E54" s="144"/>
      <c r="F54" s="144"/>
      <c r="G54" s="144"/>
      <c r="H54" s="144"/>
      <c r="I54" s="144"/>
      <c r="K54" s="75">
        <v>31</v>
      </c>
      <c r="M54" s="14"/>
      <c r="N54" s="17"/>
    </row>
    <row r="55" spans="1:47" ht="12.75">
      <c r="A55" s="37"/>
      <c r="B55" s="44" t="s">
        <v>63</v>
      </c>
      <c r="C55" s="44" t="s">
        <v>96</v>
      </c>
      <c r="D55" s="139" t="s">
        <v>533</v>
      </c>
      <c r="E55" s="140"/>
      <c r="F55" s="140"/>
      <c r="G55" s="140"/>
      <c r="H55" s="140"/>
      <c r="I55" s="140"/>
      <c r="J55" s="50" t="s">
        <v>59</v>
      </c>
      <c r="K55" s="50" t="s">
        <v>59</v>
      </c>
      <c r="L55" s="50" t="s">
        <v>59</v>
      </c>
      <c r="M55" s="64">
        <f>SUM(M56:M56)</f>
        <v>0</v>
      </c>
      <c r="N55" s="17"/>
      <c r="AI55" s="58" t="s">
        <v>63</v>
      </c>
      <c r="AS55" s="68">
        <f>SUM(AJ56:AJ56)</f>
        <v>0</v>
      </c>
      <c r="AT55" s="68">
        <f>SUM(AK56:AK56)</f>
        <v>0</v>
      </c>
      <c r="AU55" s="68">
        <f>SUM(AL56:AL56)</f>
        <v>0</v>
      </c>
    </row>
    <row r="56" spans="1:64" ht="12.75">
      <c r="A56" s="38" t="s">
        <v>95</v>
      </c>
      <c r="B56" s="45" t="s">
        <v>63</v>
      </c>
      <c r="C56" s="45" t="s">
        <v>282</v>
      </c>
      <c r="D56" s="141" t="s">
        <v>536</v>
      </c>
      <c r="E56" s="142"/>
      <c r="F56" s="142"/>
      <c r="G56" s="142"/>
      <c r="H56" s="142"/>
      <c r="I56" s="142"/>
      <c r="J56" s="45" t="s">
        <v>973</v>
      </c>
      <c r="K56" s="74">
        <f>'Stavební rozpočet'!K585</f>
        <v>118.68</v>
      </c>
      <c r="L56" s="53">
        <f>'Stavební rozpočet'!L585</f>
        <v>0</v>
      </c>
      <c r="M56" s="65">
        <f>K56*L56</f>
        <v>0</v>
      </c>
      <c r="N56" s="17"/>
      <c r="Z56" s="33">
        <f>IF(AQ56="5",BJ56,0)</f>
        <v>0</v>
      </c>
      <c r="AB56" s="33">
        <f>IF(AQ56="1",BH56,0)</f>
        <v>0</v>
      </c>
      <c r="AC56" s="33">
        <f>IF(AQ56="1",BI56,0)</f>
        <v>0</v>
      </c>
      <c r="AD56" s="33">
        <f>IF(AQ56="7",BH56,0)</f>
        <v>0</v>
      </c>
      <c r="AE56" s="33">
        <f>IF(AQ56="7",BI56,0)</f>
        <v>0</v>
      </c>
      <c r="AF56" s="33">
        <f>IF(AQ56="2",BH56,0)</f>
        <v>0</v>
      </c>
      <c r="AG56" s="33">
        <f>IF(AQ56="2",BI56,0)</f>
        <v>0</v>
      </c>
      <c r="AH56" s="33">
        <f>IF(AQ56="0",BJ56,0)</f>
        <v>0</v>
      </c>
      <c r="AI56" s="58" t="s">
        <v>63</v>
      </c>
      <c r="AJ56" s="53">
        <f>IF(AN56=0,M56,0)</f>
        <v>0</v>
      </c>
      <c r="AK56" s="53">
        <f>IF(AN56=15,M56,0)</f>
        <v>0</v>
      </c>
      <c r="AL56" s="53">
        <f>IF(AN56=21,M56,0)</f>
        <v>0</v>
      </c>
      <c r="AN56" s="33">
        <v>21</v>
      </c>
      <c r="AO56" s="33">
        <f>L56*0</f>
        <v>0</v>
      </c>
      <c r="AP56" s="33">
        <f>L56*(1-0)</f>
        <v>0</v>
      </c>
      <c r="AQ56" s="59" t="s">
        <v>80</v>
      </c>
      <c r="AV56" s="33">
        <f>AW56+AX56</f>
        <v>0</v>
      </c>
      <c r="AW56" s="33">
        <f>K56*AO56</f>
        <v>0</v>
      </c>
      <c r="AX56" s="33">
        <f>K56*AP56</f>
        <v>0</v>
      </c>
      <c r="AY56" s="61" t="s">
        <v>994</v>
      </c>
      <c r="AZ56" s="61" t="s">
        <v>1030</v>
      </c>
      <c r="BA56" s="58" t="s">
        <v>1039</v>
      </c>
      <c r="BC56" s="33">
        <f>AW56+AX56</f>
        <v>0</v>
      </c>
      <c r="BD56" s="33">
        <f>L56/(100-BE56)*100</f>
        <v>0</v>
      </c>
      <c r="BE56" s="33">
        <v>0</v>
      </c>
      <c r="BF56" s="33">
        <f>56</f>
        <v>56</v>
      </c>
      <c r="BH56" s="53">
        <f>K56*AO56</f>
        <v>0</v>
      </c>
      <c r="BI56" s="53">
        <f>K56*AP56</f>
        <v>0</v>
      </c>
      <c r="BJ56" s="53">
        <f>K56*L56</f>
        <v>0</v>
      </c>
      <c r="BK56" s="53" t="s">
        <v>1046</v>
      </c>
      <c r="BL56" s="33">
        <v>17</v>
      </c>
    </row>
    <row r="57" spans="1:14" ht="12.75">
      <c r="A57" s="17"/>
      <c r="C57" s="48" t="s">
        <v>269</v>
      </c>
      <c r="D57" s="145" t="s">
        <v>890</v>
      </c>
      <c r="E57" s="146"/>
      <c r="F57" s="146"/>
      <c r="G57" s="146"/>
      <c r="H57" s="146"/>
      <c r="I57" s="146"/>
      <c r="J57" s="146"/>
      <c r="K57" s="146"/>
      <c r="L57" s="146"/>
      <c r="M57" s="147"/>
      <c r="N57" s="17"/>
    </row>
    <row r="58" spans="1:14" ht="12.75">
      <c r="A58" s="17"/>
      <c r="D58" s="143" t="s">
        <v>891</v>
      </c>
      <c r="E58" s="144"/>
      <c r="F58" s="144"/>
      <c r="G58" s="144"/>
      <c r="H58" s="144"/>
      <c r="I58" s="144"/>
      <c r="K58" s="75">
        <v>0</v>
      </c>
      <c r="M58" s="14"/>
      <c r="N58" s="17"/>
    </row>
    <row r="59" spans="1:14" ht="12.75">
      <c r="A59" s="17"/>
      <c r="D59" s="143" t="s">
        <v>892</v>
      </c>
      <c r="E59" s="144"/>
      <c r="F59" s="144"/>
      <c r="G59" s="144"/>
      <c r="H59" s="144"/>
      <c r="I59" s="144"/>
      <c r="K59" s="75">
        <v>55.519</v>
      </c>
      <c r="M59" s="14"/>
      <c r="N59" s="17"/>
    </row>
    <row r="60" spans="1:14" ht="12.75">
      <c r="A60" s="17"/>
      <c r="D60" s="143" t="s">
        <v>893</v>
      </c>
      <c r="E60" s="144"/>
      <c r="F60" s="144"/>
      <c r="G60" s="144"/>
      <c r="H60" s="144"/>
      <c r="I60" s="144"/>
      <c r="K60" s="75">
        <v>16.641</v>
      </c>
      <c r="M60" s="14"/>
      <c r="N60" s="17"/>
    </row>
    <row r="61" spans="1:14" ht="12.75">
      <c r="A61" s="17"/>
      <c r="D61" s="143" t="s">
        <v>894</v>
      </c>
      <c r="E61" s="144"/>
      <c r="F61" s="144"/>
      <c r="G61" s="144"/>
      <c r="H61" s="144"/>
      <c r="I61" s="144"/>
      <c r="K61" s="75">
        <v>39.68</v>
      </c>
      <c r="M61" s="14"/>
      <c r="N61" s="17"/>
    </row>
    <row r="62" spans="1:14" ht="12.75">
      <c r="A62" s="17"/>
      <c r="D62" s="143" t="s">
        <v>895</v>
      </c>
      <c r="E62" s="144"/>
      <c r="F62" s="144"/>
      <c r="G62" s="144"/>
      <c r="H62" s="144"/>
      <c r="I62" s="144"/>
      <c r="K62" s="75">
        <v>6.84</v>
      </c>
      <c r="M62" s="14"/>
      <c r="N62" s="17"/>
    </row>
    <row r="63" spans="1:47" ht="12.75">
      <c r="A63" s="37"/>
      <c r="B63" s="44" t="s">
        <v>63</v>
      </c>
      <c r="C63" s="44" t="s">
        <v>97</v>
      </c>
      <c r="D63" s="139" t="s">
        <v>593</v>
      </c>
      <c r="E63" s="140"/>
      <c r="F63" s="140"/>
      <c r="G63" s="140"/>
      <c r="H63" s="140"/>
      <c r="I63" s="140"/>
      <c r="J63" s="50" t="s">
        <v>59</v>
      </c>
      <c r="K63" s="50" t="s">
        <v>59</v>
      </c>
      <c r="L63" s="50" t="s">
        <v>59</v>
      </c>
      <c r="M63" s="64">
        <f>SUM(M64:M73)</f>
        <v>0</v>
      </c>
      <c r="N63" s="17"/>
      <c r="AI63" s="58" t="s">
        <v>63</v>
      </c>
      <c r="AS63" s="68">
        <f>SUM(AJ64:AJ73)</f>
        <v>0</v>
      </c>
      <c r="AT63" s="68">
        <f>SUM(AK64:AK73)</f>
        <v>0</v>
      </c>
      <c r="AU63" s="68">
        <f>SUM(AL64:AL73)</f>
        <v>0</v>
      </c>
    </row>
    <row r="64" spans="1:64" ht="12.75">
      <c r="A64" s="38" t="s">
        <v>96</v>
      </c>
      <c r="B64" s="45" t="s">
        <v>63</v>
      </c>
      <c r="C64" s="45" t="s">
        <v>400</v>
      </c>
      <c r="D64" s="141" t="s">
        <v>896</v>
      </c>
      <c r="E64" s="142"/>
      <c r="F64" s="142"/>
      <c r="G64" s="142"/>
      <c r="H64" s="142"/>
      <c r="I64" s="142"/>
      <c r="J64" s="45" t="s">
        <v>972</v>
      </c>
      <c r="K64" s="74">
        <f>'Stavební rozpočet'!K593</f>
        <v>179</v>
      </c>
      <c r="L64" s="53">
        <f>'Stavební rozpočet'!L593</f>
        <v>0</v>
      </c>
      <c r="M64" s="65">
        <f>K64*L64</f>
        <v>0</v>
      </c>
      <c r="N64" s="17"/>
      <c r="Z64" s="33">
        <f>IF(AQ64="5",BJ64,0)</f>
        <v>0</v>
      </c>
      <c r="AB64" s="33">
        <f>IF(AQ64="1",BH64,0)</f>
        <v>0</v>
      </c>
      <c r="AC64" s="33">
        <f>IF(AQ64="1",BI64,0)</f>
        <v>0</v>
      </c>
      <c r="AD64" s="33">
        <f>IF(AQ64="7",BH64,0)</f>
        <v>0</v>
      </c>
      <c r="AE64" s="33">
        <f>IF(AQ64="7",BI64,0)</f>
        <v>0</v>
      </c>
      <c r="AF64" s="33">
        <f>IF(AQ64="2",BH64,0)</f>
        <v>0</v>
      </c>
      <c r="AG64" s="33">
        <f>IF(AQ64="2",BI64,0)</f>
        <v>0</v>
      </c>
      <c r="AH64" s="33">
        <f>IF(AQ64="0",BJ64,0)</f>
        <v>0</v>
      </c>
      <c r="AI64" s="58" t="s">
        <v>63</v>
      </c>
      <c r="AJ64" s="53">
        <f>IF(AN64=0,M64,0)</f>
        <v>0</v>
      </c>
      <c r="AK64" s="53">
        <f>IF(AN64=15,M64,0)</f>
        <v>0</v>
      </c>
      <c r="AL64" s="53">
        <f>IF(AN64=21,M64,0)</f>
        <v>0</v>
      </c>
      <c r="AN64" s="33">
        <v>21</v>
      </c>
      <c r="AO64" s="33">
        <f>L64*0.187545787545788</f>
        <v>0</v>
      </c>
      <c r="AP64" s="33">
        <f>L64*(1-0.187545787545788)</f>
        <v>0</v>
      </c>
      <c r="AQ64" s="59" t="s">
        <v>80</v>
      </c>
      <c r="AV64" s="33">
        <f>AW64+AX64</f>
        <v>0</v>
      </c>
      <c r="AW64" s="33">
        <f>K64*AO64</f>
        <v>0</v>
      </c>
      <c r="AX64" s="33">
        <f>K64*AP64</f>
        <v>0</v>
      </c>
      <c r="AY64" s="61" t="s">
        <v>995</v>
      </c>
      <c r="AZ64" s="61" t="s">
        <v>1030</v>
      </c>
      <c r="BA64" s="58" t="s">
        <v>1039</v>
      </c>
      <c r="BC64" s="33">
        <f>AW64+AX64</f>
        <v>0</v>
      </c>
      <c r="BD64" s="33">
        <f>L64/(100-BE64)*100</f>
        <v>0</v>
      </c>
      <c r="BE64" s="33">
        <v>0</v>
      </c>
      <c r="BF64" s="33">
        <f>64</f>
        <v>64</v>
      </c>
      <c r="BH64" s="53">
        <f>K64*AO64</f>
        <v>0</v>
      </c>
      <c r="BI64" s="53">
        <f>K64*AP64</f>
        <v>0</v>
      </c>
      <c r="BJ64" s="53">
        <f>K64*L64</f>
        <v>0</v>
      </c>
      <c r="BK64" s="53" t="s">
        <v>1046</v>
      </c>
      <c r="BL64" s="33">
        <v>18</v>
      </c>
    </row>
    <row r="65" spans="1:14" ht="12.75">
      <c r="A65" s="17"/>
      <c r="D65" s="143" t="s">
        <v>897</v>
      </c>
      <c r="E65" s="144"/>
      <c r="F65" s="144"/>
      <c r="G65" s="144"/>
      <c r="H65" s="144"/>
      <c r="I65" s="144"/>
      <c r="K65" s="75">
        <v>179</v>
      </c>
      <c r="M65" s="14"/>
      <c r="N65" s="17"/>
    </row>
    <row r="66" spans="1:64" ht="12.75">
      <c r="A66" s="38" t="s">
        <v>97</v>
      </c>
      <c r="B66" s="45" t="s">
        <v>63</v>
      </c>
      <c r="C66" s="45" t="s">
        <v>401</v>
      </c>
      <c r="D66" s="141" t="s">
        <v>898</v>
      </c>
      <c r="E66" s="142"/>
      <c r="F66" s="142"/>
      <c r="G66" s="142"/>
      <c r="H66" s="142"/>
      <c r="I66" s="142"/>
      <c r="J66" s="45" t="s">
        <v>972</v>
      </c>
      <c r="K66" s="74">
        <f>'Stavební rozpočet'!K595</f>
        <v>179</v>
      </c>
      <c r="L66" s="53">
        <f>'Stavební rozpočet'!L595</f>
        <v>0</v>
      </c>
      <c r="M66" s="65">
        <f>K66*L66</f>
        <v>0</v>
      </c>
      <c r="N66" s="17"/>
      <c r="Z66" s="33">
        <f>IF(AQ66="5",BJ66,0)</f>
        <v>0</v>
      </c>
      <c r="AB66" s="33">
        <f>IF(AQ66="1",BH66,0)</f>
        <v>0</v>
      </c>
      <c r="AC66" s="33">
        <f>IF(AQ66="1",BI66,0)</f>
        <v>0</v>
      </c>
      <c r="AD66" s="33">
        <f>IF(AQ66="7",BH66,0)</f>
        <v>0</v>
      </c>
      <c r="AE66" s="33">
        <f>IF(AQ66="7",BI66,0)</f>
        <v>0</v>
      </c>
      <c r="AF66" s="33">
        <f>IF(AQ66="2",BH66,0)</f>
        <v>0</v>
      </c>
      <c r="AG66" s="33">
        <f>IF(AQ66="2",BI66,0)</f>
        <v>0</v>
      </c>
      <c r="AH66" s="33">
        <f>IF(AQ66="0",BJ66,0)</f>
        <v>0</v>
      </c>
      <c r="AI66" s="58" t="s">
        <v>63</v>
      </c>
      <c r="AJ66" s="53">
        <f>IF(AN66=0,M66,0)</f>
        <v>0</v>
      </c>
      <c r="AK66" s="53">
        <f>IF(AN66=15,M66,0)</f>
        <v>0</v>
      </c>
      <c r="AL66" s="53">
        <f>IF(AN66=21,M66,0)</f>
        <v>0</v>
      </c>
      <c r="AN66" s="33">
        <v>21</v>
      </c>
      <c r="AO66" s="33">
        <f>L66*0</f>
        <v>0</v>
      </c>
      <c r="AP66" s="33">
        <f>L66*(1-0)</f>
        <v>0</v>
      </c>
      <c r="AQ66" s="59" t="s">
        <v>80</v>
      </c>
      <c r="AV66" s="33">
        <f>AW66+AX66</f>
        <v>0</v>
      </c>
      <c r="AW66" s="33">
        <f>K66*AO66</f>
        <v>0</v>
      </c>
      <c r="AX66" s="33">
        <f>K66*AP66</f>
        <v>0</v>
      </c>
      <c r="AY66" s="61" t="s">
        <v>995</v>
      </c>
      <c r="AZ66" s="61" t="s">
        <v>1030</v>
      </c>
      <c r="BA66" s="58" t="s">
        <v>1039</v>
      </c>
      <c r="BC66" s="33">
        <f>AW66+AX66</f>
        <v>0</v>
      </c>
      <c r="BD66" s="33">
        <f>L66/(100-BE66)*100</f>
        <v>0</v>
      </c>
      <c r="BE66" s="33">
        <v>0</v>
      </c>
      <c r="BF66" s="33">
        <f>66</f>
        <v>66</v>
      </c>
      <c r="BH66" s="53">
        <f>K66*AO66</f>
        <v>0</v>
      </c>
      <c r="BI66" s="53">
        <f>K66*AP66</f>
        <v>0</v>
      </c>
      <c r="BJ66" s="53">
        <f>K66*L66</f>
        <v>0</v>
      </c>
      <c r="BK66" s="53" t="s">
        <v>1046</v>
      </c>
      <c r="BL66" s="33">
        <v>18</v>
      </c>
    </row>
    <row r="67" spans="1:14" ht="12.75">
      <c r="A67" s="17"/>
      <c r="D67" s="143" t="s">
        <v>899</v>
      </c>
      <c r="E67" s="144"/>
      <c r="F67" s="144"/>
      <c r="G67" s="144"/>
      <c r="H67" s="144"/>
      <c r="I67" s="144"/>
      <c r="K67" s="75">
        <v>179</v>
      </c>
      <c r="M67" s="14"/>
      <c r="N67" s="17"/>
    </row>
    <row r="68" spans="1:64" ht="12.75">
      <c r="A68" s="39" t="s">
        <v>98</v>
      </c>
      <c r="B68" s="46" t="s">
        <v>63</v>
      </c>
      <c r="C68" s="46" t="s">
        <v>402</v>
      </c>
      <c r="D68" s="148" t="s">
        <v>900</v>
      </c>
      <c r="E68" s="149"/>
      <c r="F68" s="149"/>
      <c r="G68" s="149"/>
      <c r="H68" s="149"/>
      <c r="I68" s="149"/>
      <c r="J68" s="46" t="s">
        <v>973</v>
      </c>
      <c r="K68" s="78">
        <f>'Stavební rozpočet'!K597</f>
        <v>31</v>
      </c>
      <c r="L68" s="54">
        <f>'Stavební rozpočet'!L597</f>
        <v>0</v>
      </c>
      <c r="M68" s="66">
        <f>K68*L68</f>
        <v>0</v>
      </c>
      <c r="N68" s="17"/>
      <c r="Z68" s="33">
        <f>IF(AQ68="5",BJ68,0)</f>
        <v>0</v>
      </c>
      <c r="AB68" s="33">
        <f>IF(AQ68="1",BH68,0)</f>
        <v>0</v>
      </c>
      <c r="AC68" s="33">
        <f>IF(AQ68="1",BI68,0)</f>
        <v>0</v>
      </c>
      <c r="AD68" s="33">
        <f>IF(AQ68="7",BH68,0)</f>
        <v>0</v>
      </c>
      <c r="AE68" s="33">
        <f>IF(AQ68="7",BI68,0)</f>
        <v>0</v>
      </c>
      <c r="AF68" s="33">
        <f>IF(AQ68="2",BH68,0)</f>
        <v>0</v>
      </c>
      <c r="AG68" s="33">
        <f>IF(AQ68="2",BI68,0)</f>
        <v>0</v>
      </c>
      <c r="AH68" s="33">
        <f>IF(AQ68="0",BJ68,0)</f>
        <v>0</v>
      </c>
      <c r="AI68" s="58" t="s">
        <v>63</v>
      </c>
      <c r="AJ68" s="54">
        <f>IF(AN68=0,M68,0)</f>
        <v>0</v>
      </c>
      <c r="AK68" s="54">
        <f>IF(AN68=15,M68,0)</f>
        <v>0</v>
      </c>
      <c r="AL68" s="54">
        <f>IF(AN68=21,M68,0)</f>
        <v>0</v>
      </c>
      <c r="AN68" s="33">
        <v>21</v>
      </c>
      <c r="AO68" s="33">
        <f>L68*1</f>
        <v>0</v>
      </c>
      <c r="AP68" s="33">
        <f>L68*(1-1)</f>
        <v>0</v>
      </c>
      <c r="AQ68" s="60" t="s">
        <v>80</v>
      </c>
      <c r="AV68" s="33">
        <f>AW68+AX68</f>
        <v>0</v>
      </c>
      <c r="AW68" s="33">
        <f>K68*AO68</f>
        <v>0</v>
      </c>
      <c r="AX68" s="33">
        <f>K68*AP68</f>
        <v>0</v>
      </c>
      <c r="AY68" s="61" t="s">
        <v>995</v>
      </c>
      <c r="AZ68" s="61" t="s">
        <v>1030</v>
      </c>
      <c r="BA68" s="58" t="s">
        <v>1039</v>
      </c>
      <c r="BC68" s="33">
        <f>AW68+AX68</f>
        <v>0</v>
      </c>
      <c r="BD68" s="33">
        <f>L68/(100-BE68)*100</f>
        <v>0</v>
      </c>
      <c r="BE68" s="33">
        <v>0</v>
      </c>
      <c r="BF68" s="33">
        <f>68</f>
        <v>68</v>
      </c>
      <c r="BH68" s="54">
        <f>K68*AO68</f>
        <v>0</v>
      </c>
      <c r="BI68" s="54">
        <f>K68*AP68</f>
        <v>0</v>
      </c>
      <c r="BJ68" s="54">
        <f>K68*L68</f>
        <v>0</v>
      </c>
      <c r="BK68" s="54" t="s">
        <v>1047</v>
      </c>
      <c r="BL68" s="33">
        <v>18</v>
      </c>
    </row>
    <row r="69" spans="1:14" ht="12.75">
      <c r="A69" s="17"/>
      <c r="D69" s="143" t="s">
        <v>901</v>
      </c>
      <c r="E69" s="144"/>
      <c r="F69" s="144"/>
      <c r="G69" s="144"/>
      <c r="H69" s="144"/>
      <c r="I69" s="144"/>
      <c r="K69" s="75">
        <v>35.8</v>
      </c>
      <c r="M69" s="14"/>
      <c r="N69" s="17"/>
    </row>
    <row r="70" spans="1:14" ht="12.75">
      <c r="A70" s="17"/>
      <c r="D70" s="143" t="s">
        <v>902</v>
      </c>
      <c r="E70" s="144"/>
      <c r="F70" s="144"/>
      <c r="G70" s="144"/>
      <c r="H70" s="144"/>
      <c r="I70" s="144"/>
      <c r="K70" s="75">
        <v>-4.8</v>
      </c>
      <c r="M70" s="14"/>
      <c r="N70" s="17"/>
    </row>
    <row r="71" spans="1:64" ht="12.75">
      <c r="A71" s="38" t="s">
        <v>99</v>
      </c>
      <c r="B71" s="45" t="s">
        <v>63</v>
      </c>
      <c r="C71" s="45" t="s">
        <v>403</v>
      </c>
      <c r="D71" s="141" t="s">
        <v>903</v>
      </c>
      <c r="E71" s="142"/>
      <c r="F71" s="142"/>
      <c r="G71" s="142"/>
      <c r="H71" s="142"/>
      <c r="I71" s="142"/>
      <c r="J71" s="45" t="s">
        <v>972</v>
      </c>
      <c r="K71" s="74">
        <f>'Stavební rozpočet'!K600</f>
        <v>2</v>
      </c>
      <c r="L71" s="53">
        <f>'Stavební rozpočet'!L600</f>
        <v>0</v>
      </c>
      <c r="M71" s="65">
        <f>K71*L71</f>
        <v>0</v>
      </c>
      <c r="N71" s="17"/>
      <c r="Z71" s="33">
        <f>IF(AQ71="5",BJ71,0)</f>
        <v>0</v>
      </c>
      <c r="AB71" s="33">
        <f>IF(AQ71="1",BH71,0)</f>
        <v>0</v>
      </c>
      <c r="AC71" s="33">
        <f>IF(AQ71="1",BI71,0)</f>
        <v>0</v>
      </c>
      <c r="AD71" s="33">
        <f>IF(AQ71="7",BH71,0)</f>
        <v>0</v>
      </c>
      <c r="AE71" s="33">
        <f>IF(AQ71="7",BI71,0)</f>
        <v>0</v>
      </c>
      <c r="AF71" s="33">
        <f>IF(AQ71="2",BH71,0)</f>
        <v>0</v>
      </c>
      <c r="AG71" s="33">
        <f>IF(AQ71="2",BI71,0)</f>
        <v>0</v>
      </c>
      <c r="AH71" s="33">
        <f>IF(AQ71="0",BJ71,0)</f>
        <v>0</v>
      </c>
      <c r="AI71" s="58" t="s">
        <v>63</v>
      </c>
      <c r="AJ71" s="53">
        <f>IF(AN71=0,M71,0)</f>
        <v>0</v>
      </c>
      <c r="AK71" s="53">
        <f>IF(AN71=15,M71,0)</f>
        <v>0</v>
      </c>
      <c r="AL71" s="53">
        <f>IF(AN71=21,M71,0)</f>
        <v>0</v>
      </c>
      <c r="AN71" s="33">
        <v>21</v>
      </c>
      <c r="AO71" s="33">
        <f>L71*0.199439252336449</f>
        <v>0</v>
      </c>
      <c r="AP71" s="33">
        <f>L71*(1-0.199439252336449)</f>
        <v>0</v>
      </c>
      <c r="AQ71" s="59" t="s">
        <v>80</v>
      </c>
      <c r="AV71" s="33">
        <f>AW71+AX71</f>
        <v>0</v>
      </c>
      <c r="AW71" s="33">
        <f>K71*AO71</f>
        <v>0</v>
      </c>
      <c r="AX71" s="33">
        <f>K71*AP71</f>
        <v>0</v>
      </c>
      <c r="AY71" s="61" t="s">
        <v>995</v>
      </c>
      <c r="AZ71" s="61" t="s">
        <v>1030</v>
      </c>
      <c r="BA71" s="58" t="s">
        <v>1039</v>
      </c>
      <c r="BC71" s="33">
        <f>AW71+AX71</f>
        <v>0</v>
      </c>
      <c r="BD71" s="33">
        <f>L71/(100-BE71)*100</f>
        <v>0</v>
      </c>
      <c r="BE71" s="33">
        <v>0</v>
      </c>
      <c r="BF71" s="33">
        <f>71</f>
        <v>71</v>
      </c>
      <c r="BH71" s="53">
        <f>K71*AO71</f>
        <v>0</v>
      </c>
      <c r="BI71" s="53">
        <f>K71*AP71</f>
        <v>0</v>
      </c>
      <c r="BJ71" s="53">
        <f>K71*L71</f>
        <v>0</v>
      </c>
      <c r="BK71" s="53" t="s">
        <v>1046</v>
      </c>
      <c r="BL71" s="33">
        <v>18</v>
      </c>
    </row>
    <row r="72" spans="1:14" ht="12.75">
      <c r="A72" s="17"/>
      <c r="D72" s="143" t="s">
        <v>783</v>
      </c>
      <c r="E72" s="144"/>
      <c r="F72" s="144"/>
      <c r="G72" s="144"/>
      <c r="H72" s="144"/>
      <c r="I72" s="144"/>
      <c r="K72" s="75">
        <v>2</v>
      </c>
      <c r="M72" s="14"/>
      <c r="N72" s="17"/>
    </row>
    <row r="73" spans="1:64" ht="12.75">
      <c r="A73" s="38" t="s">
        <v>100</v>
      </c>
      <c r="B73" s="45" t="s">
        <v>63</v>
      </c>
      <c r="C73" s="45" t="s">
        <v>404</v>
      </c>
      <c r="D73" s="141" t="s">
        <v>904</v>
      </c>
      <c r="E73" s="142"/>
      <c r="F73" s="142"/>
      <c r="G73" s="142"/>
      <c r="H73" s="142"/>
      <c r="I73" s="142"/>
      <c r="J73" s="45" t="s">
        <v>972</v>
      </c>
      <c r="K73" s="74">
        <f>'Stavební rozpočet'!K602</f>
        <v>2</v>
      </c>
      <c r="L73" s="53">
        <f>'Stavební rozpočet'!L602</f>
        <v>0</v>
      </c>
      <c r="M73" s="65">
        <f>K73*L73</f>
        <v>0</v>
      </c>
      <c r="N73" s="17"/>
      <c r="Z73" s="33">
        <f>IF(AQ73="5",BJ73,0)</f>
        <v>0</v>
      </c>
      <c r="AB73" s="33">
        <f>IF(AQ73="1",BH73,0)</f>
        <v>0</v>
      </c>
      <c r="AC73" s="33">
        <f>IF(AQ73="1",BI73,0)</f>
        <v>0</v>
      </c>
      <c r="AD73" s="33">
        <f>IF(AQ73="7",BH73,0)</f>
        <v>0</v>
      </c>
      <c r="AE73" s="33">
        <f>IF(AQ73="7",BI73,0)</f>
        <v>0</v>
      </c>
      <c r="AF73" s="33">
        <f>IF(AQ73="2",BH73,0)</f>
        <v>0</v>
      </c>
      <c r="AG73" s="33">
        <f>IF(AQ73="2",BI73,0)</f>
        <v>0</v>
      </c>
      <c r="AH73" s="33">
        <f>IF(AQ73="0",BJ73,0)</f>
        <v>0</v>
      </c>
      <c r="AI73" s="58" t="s">
        <v>63</v>
      </c>
      <c r="AJ73" s="53">
        <f>IF(AN73=0,M73,0)</f>
        <v>0</v>
      </c>
      <c r="AK73" s="53">
        <f>IF(AN73=15,M73,0)</f>
        <v>0</v>
      </c>
      <c r="AL73" s="53">
        <f>IF(AN73=21,M73,0)</f>
        <v>0</v>
      </c>
      <c r="AN73" s="33">
        <v>21</v>
      </c>
      <c r="AO73" s="33">
        <f>L73*0</f>
        <v>0</v>
      </c>
      <c r="AP73" s="33">
        <f>L73*(1-0)</f>
        <v>0</v>
      </c>
      <c r="AQ73" s="59" t="s">
        <v>80</v>
      </c>
      <c r="AV73" s="33">
        <f>AW73+AX73</f>
        <v>0</v>
      </c>
      <c r="AW73" s="33">
        <f>K73*AO73</f>
        <v>0</v>
      </c>
      <c r="AX73" s="33">
        <f>K73*AP73</f>
        <v>0</v>
      </c>
      <c r="AY73" s="61" t="s">
        <v>995</v>
      </c>
      <c r="AZ73" s="61" t="s">
        <v>1030</v>
      </c>
      <c r="BA73" s="58" t="s">
        <v>1039</v>
      </c>
      <c r="BC73" s="33">
        <f>AW73+AX73</f>
        <v>0</v>
      </c>
      <c r="BD73" s="33">
        <f>L73/(100-BE73)*100</f>
        <v>0</v>
      </c>
      <c r="BE73" s="33">
        <v>0</v>
      </c>
      <c r="BF73" s="33">
        <f>73</f>
        <v>73</v>
      </c>
      <c r="BH73" s="53">
        <f>K73*AO73</f>
        <v>0</v>
      </c>
      <c r="BI73" s="53">
        <f>K73*AP73</f>
        <v>0</v>
      </c>
      <c r="BJ73" s="53">
        <f>K73*L73</f>
        <v>0</v>
      </c>
      <c r="BK73" s="53" t="s">
        <v>1046</v>
      </c>
      <c r="BL73" s="33">
        <v>18</v>
      </c>
    </row>
    <row r="74" spans="1:14" ht="12.75">
      <c r="A74" s="17"/>
      <c r="D74" s="143" t="s">
        <v>783</v>
      </c>
      <c r="E74" s="144"/>
      <c r="F74" s="144"/>
      <c r="G74" s="144"/>
      <c r="H74" s="144"/>
      <c r="I74" s="144"/>
      <c r="K74" s="75">
        <v>2</v>
      </c>
      <c r="M74" s="14"/>
      <c r="N74" s="17"/>
    </row>
    <row r="75" spans="1:47" ht="12.75">
      <c r="A75" s="37"/>
      <c r="B75" s="44" t="s">
        <v>63</v>
      </c>
      <c r="C75" s="44" t="s">
        <v>170</v>
      </c>
      <c r="D75" s="139" t="s">
        <v>761</v>
      </c>
      <c r="E75" s="140"/>
      <c r="F75" s="140"/>
      <c r="G75" s="140"/>
      <c r="H75" s="140"/>
      <c r="I75" s="140"/>
      <c r="J75" s="50" t="s">
        <v>59</v>
      </c>
      <c r="K75" s="50" t="s">
        <v>59</v>
      </c>
      <c r="L75" s="50" t="s">
        <v>59</v>
      </c>
      <c r="M75" s="64">
        <f>SUM(M76:M76)</f>
        <v>0</v>
      </c>
      <c r="N75" s="17"/>
      <c r="AI75" s="58" t="s">
        <v>63</v>
      </c>
      <c r="AS75" s="68">
        <f>SUM(AJ76:AJ76)</f>
        <v>0</v>
      </c>
      <c r="AT75" s="68">
        <f>SUM(AK76:AK76)</f>
        <v>0</v>
      </c>
      <c r="AU75" s="68">
        <f>SUM(AL76:AL76)</f>
        <v>0</v>
      </c>
    </row>
    <row r="76" spans="1:64" ht="12.75">
      <c r="A76" s="38" t="s">
        <v>101</v>
      </c>
      <c r="B76" s="45" t="s">
        <v>63</v>
      </c>
      <c r="C76" s="45" t="s">
        <v>405</v>
      </c>
      <c r="D76" s="141" t="s">
        <v>905</v>
      </c>
      <c r="E76" s="142"/>
      <c r="F76" s="142"/>
      <c r="G76" s="142"/>
      <c r="H76" s="142"/>
      <c r="I76" s="142"/>
      <c r="J76" s="45" t="s">
        <v>968</v>
      </c>
      <c r="K76" s="74">
        <f>'Stavební rozpočet'!K605</f>
        <v>85</v>
      </c>
      <c r="L76" s="53">
        <f>'Stavební rozpočet'!L605</f>
        <v>0</v>
      </c>
      <c r="M76" s="65">
        <f>K76*L76</f>
        <v>0</v>
      </c>
      <c r="N76" s="17"/>
      <c r="Z76" s="33">
        <f>IF(AQ76="5",BJ76,0)</f>
        <v>0</v>
      </c>
      <c r="AB76" s="33">
        <f>IF(AQ76="1",BH76,0)</f>
        <v>0</v>
      </c>
      <c r="AC76" s="33">
        <f>IF(AQ76="1",BI76,0)</f>
        <v>0</v>
      </c>
      <c r="AD76" s="33">
        <f>IF(AQ76="7",BH76,0)</f>
        <v>0</v>
      </c>
      <c r="AE76" s="33">
        <f>IF(AQ76="7",BI76,0)</f>
        <v>0</v>
      </c>
      <c r="AF76" s="33">
        <f>IF(AQ76="2",BH76,0)</f>
        <v>0</v>
      </c>
      <c r="AG76" s="33">
        <f>IF(AQ76="2",BI76,0)</f>
        <v>0</v>
      </c>
      <c r="AH76" s="33">
        <f>IF(AQ76="0",BJ76,0)</f>
        <v>0</v>
      </c>
      <c r="AI76" s="58" t="s">
        <v>63</v>
      </c>
      <c r="AJ76" s="53">
        <f>IF(AN76=0,M76,0)</f>
        <v>0</v>
      </c>
      <c r="AK76" s="53">
        <f>IF(AN76=15,M76,0)</f>
        <v>0</v>
      </c>
      <c r="AL76" s="53">
        <f>IF(AN76=21,M76,0)</f>
        <v>0</v>
      </c>
      <c r="AN76" s="33">
        <v>21</v>
      </c>
      <c r="AO76" s="33">
        <f>L76*0.551764705882353</f>
        <v>0</v>
      </c>
      <c r="AP76" s="33">
        <f>L76*(1-0.551764705882353)</f>
        <v>0</v>
      </c>
      <c r="AQ76" s="59" t="s">
        <v>80</v>
      </c>
      <c r="AV76" s="33">
        <f>AW76+AX76</f>
        <v>0</v>
      </c>
      <c r="AW76" s="33">
        <f>K76*AO76</f>
        <v>0</v>
      </c>
      <c r="AX76" s="33">
        <f>K76*AP76</f>
        <v>0</v>
      </c>
      <c r="AY76" s="61" t="s">
        <v>1007</v>
      </c>
      <c r="AZ76" s="61" t="s">
        <v>1031</v>
      </c>
      <c r="BA76" s="58" t="s">
        <v>1039</v>
      </c>
      <c r="BC76" s="33">
        <f>AW76+AX76</f>
        <v>0</v>
      </c>
      <c r="BD76" s="33">
        <f>L76/(100-BE76)*100</f>
        <v>0</v>
      </c>
      <c r="BE76" s="33">
        <v>0</v>
      </c>
      <c r="BF76" s="33">
        <f>76</f>
        <v>76</v>
      </c>
      <c r="BH76" s="53">
        <f>K76*AO76</f>
        <v>0</v>
      </c>
      <c r="BI76" s="53">
        <f>K76*AP76</f>
        <v>0</v>
      </c>
      <c r="BJ76" s="53">
        <f>K76*L76</f>
        <v>0</v>
      </c>
      <c r="BK76" s="53" t="s">
        <v>1046</v>
      </c>
      <c r="BL76" s="33">
        <v>91</v>
      </c>
    </row>
    <row r="77" spans="1:14" ht="12.75">
      <c r="A77" s="17"/>
      <c r="D77" s="143" t="s">
        <v>906</v>
      </c>
      <c r="E77" s="144"/>
      <c r="F77" s="144"/>
      <c r="G77" s="144"/>
      <c r="H77" s="144"/>
      <c r="I77" s="144"/>
      <c r="K77" s="75">
        <v>85</v>
      </c>
      <c r="M77" s="14"/>
      <c r="N77" s="17"/>
    </row>
    <row r="78" spans="1:47" ht="12.75">
      <c r="A78" s="37"/>
      <c r="B78" s="44" t="s">
        <v>63</v>
      </c>
      <c r="C78" s="44" t="s">
        <v>172</v>
      </c>
      <c r="D78" s="139" t="s">
        <v>845</v>
      </c>
      <c r="E78" s="140"/>
      <c r="F78" s="140"/>
      <c r="G78" s="140"/>
      <c r="H78" s="140"/>
      <c r="I78" s="140"/>
      <c r="J78" s="50" t="s">
        <v>59</v>
      </c>
      <c r="K78" s="50" t="s">
        <v>59</v>
      </c>
      <c r="L78" s="50" t="s">
        <v>59</v>
      </c>
      <c r="M78" s="64">
        <f>SUM(M79:M79)</f>
        <v>0</v>
      </c>
      <c r="N78" s="17"/>
      <c r="AI78" s="58" t="s">
        <v>63</v>
      </c>
      <c r="AS78" s="68">
        <f>SUM(AJ79:AJ79)</f>
        <v>0</v>
      </c>
      <c r="AT78" s="68">
        <f>SUM(AK79:AK79)</f>
        <v>0</v>
      </c>
      <c r="AU78" s="68">
        <f>SUM(AL79:AL79)</f>
        <v>0</v>
      </c>
    </row>
    <row r="79" spans="1:64" ht="12.75">
      <c r="A79" s="38" t="s">
        <v>102</v>
      </c>
      <c r="B79" s="45" t="s">
        <v>63</v>
      </c>
      <c r="C79" s="45" t="s">
        <v>406</v>
      </c>
      <c r="D79" s="141" t="s">
        <v>907</v>
      </c>
      <c r="E79" s="142"/>
      <c r="F79" s="142"/>
      <c r="G79" s="142"/>
      <c r="H79" s="142"/>
      <c r="I79" s="142"/>
      <c r="J79" s="45" t="s">
        <v>972</v>
      </c>
      <c r="K79" s="74">
        <f>'Stavební rozpočet'!K608</f>
        <v>159.434</v>
      </c>
      <c r="L79" s="53">
        <f>'Stavební rozpočet'!L608</f>
        <v>0</v>
      </c>
      <c r="M79" s="65">
        <f>K79*L79</f>
        <v>0</v>
      </c>
      <c r="N79" s="17"/>
      <c r="Z79" s="33">
        <f>IF(AQ79="5",BJ79,0)</f>
        <v>0</v>
      </c>
      <c r="AB79" s="33">
        <f>IF(AQ79="1",BH79,0)</f>
        <v>0</v>
      </c>
      <c r="AC79" s="33">
        <f>IF(AQ79="1",BI79,0)</f>
        <v>0</v>
      </c>
      <c r="AD79" s="33">
        <f>IF(AQ79="7",BH79,0)</f>
        <v>0</v>
      </c>
      <c r="AE79" s="33">
        <f>IF(AQ79="7",BI79,0)</f>
        <v>0</v>
      </c>
      <c r="AF79" s="33">
        <f>IF(AQ79="2",BH79,0)</f>
        <v>0</v>
      </c>
      <c r="AG79" s="33">
        <f>IF(AQ79="2",BI79,0)</f>
        <v>0</v>
      </c>
      <c r="AH79" s="33">
        <f>IF(AQ79="0",BJ79,0)</f>
        <v>0</v>
      </c>
      <c r="AI79" s="58" t="s">
        <v>63</v>
      </c>
      <c r="AJ79" s="53">
        <f>IF(AN79=0,M79,0)</f>
        <v>0</v>
      </c>
      <c r="AK79" s="53">
        <f>IF(AN79=15,M79,0)</f>
        <v>0</v>
      </c>
      <c r="AL79" s="53">
        <f>IF(AN79=21,M79,0)</f>
        <v>0</v>
      </c>
      <c r="AN79" s="33">
        <v>21</v>
      </c>
      <c r="AO79" s="33">
        <f>L79*0.328378030413895</f>
        <v>0</v>
      </c>
      <c r="AP79" s="33">
        <f>L79*(1-0.328378030413895)</f>
        <v>0</v>
      </c>
      <c r="AQ79" s="59" t="s">
        <v>80</v>
      </c>
      <c r="AV79" s="33">
        <f>AW79+AX79</f>
        <v>0</v>
      </c>
      <c r="AW79" s="33">
        <f>K79*AO79</f>
        <v>0</v>
      </c>
      <c r="AX79" s="33">
        <f>K79*AP79</f>
        <v>0</v>
      </c>
      <c r="AY79" s="61" t="s">
        <v>1014</v>
      </c>
      <c r="AZ79" s="61" t="s">
        <v>1031</v>
      </c>
      <c r="BA79" s="58" t="s">
        <v>1039</v>
      </c>
      <c r="BC79" s="33">
        <f>AW79+AX79</f>
        <v>0</v>
      </c>
      <c r="BD79" s="33">
        <f>L79/(100-BE79)*100</f>
        <v>0</v>
      </c>
      <c r="BE79" s="33">
        <v>0</v>
      </c>
      <c r="BF79" s="33">
        <f>79</f>
        <v>79</v>
      </c>
      <c r="BH79" s="53">
        <f>K79*AO79</f>
        <v>0</v>
      </c>
      <c r="BI79" s="53">
        <f>K79*AP79</f>
        <v>0</v>
      </c>
      <c r="BJ79" s="53">
        <f>K79*L79</f>
        <v>0</v>
      </c>
      <c r="BK79" s="53" t="s">
        <v>1046</v>
      </c>
      <c r="BL79" s="33">
        <v>93</v>
      </c>
    </row>
    <row r="80" spans="1:14" ht="12.75">
      <c r="A80" s="17"/>
      <c r="C80" s="48" t="s">
        <v>269</v>
      </c>
      <c r="D80" s="145" t="s">
        <v>908</v>
      </c>
      <c r="E80" s="146"/>
      <c r="F80" s="146"/>
      <c r="G80" s="146"/>
      <c r="H80" s="146"/>
      <c r="I80" s="146"/>
      <c r="J80" s="146"/>
      <c r="K80" s="146"/>
      <c r="L80" s="146"/>
      <c r="M80" s="147"/>
      <c r="N80" s="17"/>
    </row>
    <row r="81" spans="1:14" ht="12.75">
      <c r="A81" s="17"/>
      <c r="D81" s="143" t="s">
        <v>909</v>
      </c>
      <c r="E81" s="144"/>
      <c r="F81" s="144"/>
      <c r="G81" s="144"/>
      <c r="H81" s="144"/>
      <c r="I81" s="144"/>
      <c r="K81" s="75">
        <v>63.878</v>
      </c>
      <c r="M81" s="14"/>
      <c r="N81" s="17"/>
    </row>
    <row r="82" spans="1:14" ht="12.75">
      <c r="A82" s="17"/>
      <c r="D82" s="143" t="s">
        <v>910</v>
      </c>
      <c r="E82" s="144"/>
      <c r="F82" s="144"/>
      <c r="G82" s="144"/>
      <c r="H82" s="144"/>
      <c r="I82" s="144"/>
      <c r="K82" s="75">
        <v>29.243</v>
      </c>
      <c r="M82" s="14"/>
      <c r="N82" s="17"/>
    </row>
    <row r="83" spans="1:14" ht="12.75">
      <c r="A83" s="17"/>
      <c r="D83" s="143" t="s">
        <v>911</v>
      </c>
      <c r="E83" s="144"/>
      <c r="F83" s="144"/>
      <c r="G83" s="144"/>
      <c r="H83" s="144"/>
      <c r="I83" s="144"/>
      <c r="K83" s="75">
        <v>52.49</v>
      </c>
      <c r="M83" s="14"/>
      <c r="N83" s="17"/>
    </row>
    <row r="84" spans="1:14" ht="12.75">
      <c r="A84" s="17"/>
      <c r="D84" s="143" t="s">
        <v>912</v>
      </c>
      <c r="E84" s="144"/>
      <c r="F84" s="144"/>
      <c r="G84" s="144"/>
      <c r="H84" s="144"/>
      <c r="I84" s="144"/>
      <c r="K84" s="75">
        <v>13.823</v>
      </c>
      <c r="M84" s="14"/>
      <c r="N84" s="17"/>
    </row>
    <row r="85" spans="1:47" ht="12.75">
      <c r="A85" s="37"/>
      <c r="B85" s="44" t="s">
        <v>63</v>
      </c>
      <c r="C85" s="44" t="s">
        <v>176</v>
      </c>
      <c r="D85" s="139" t="s">
        <v>767</v>
      </c>
      <c r="E85" s="140"/>
      <c r="F85" s="140"/>
      <c r="G85" s="140"/>
      <c r="H85" s="140"/>
      <c r="I85" s="140"/>
      <c r="J85" s="50" t="s">
        <v>59</v>
      </c>
      <c r="K85" s="50" t="s">
        <v>59</v>
      </c>
      <c r="L85" s="50" t="s">
        <v>59</v>
      </c>
      <c r="M85" s="64">
        <f>SUM(M86:M86)</f>
        <v>0</v>
      </c>
      <c r="N85" s="17"/>
      <c r="AI85" s="58" t="s">
        <v>63</v>
      </c>
      <c r="AS85" s="68">
        <f>SUM(AJ86:AJ86)</f>
        <v>0</v>
      </c>
      <c r="AT85" s="68">
        <f>SUM(AK86:AK86)</f>
        <v>0</v>
      </c>
      <c r="AU85" s="68">
        <f>SUM(AL86:AL86)</f>
        <v>0</v>
      </c>
    </row>
    <row r="86" spans="1:64" ht="12.75">
      <c r="A86" s="38" t="s">
        <v>103</v>
      </c>
      <c r="B86" s="45" t="s">
        <v>63</v>
      </c>
      <c r="C86" s="45" t="s">
        <v>407</v>
      </c>
      <c r="D86" s="141" t="s">
        <v>913</v>
      </c>
      <c r="E86" s="142"/>
      <c r="F86" s="142"/>
      <c r="G86" s="142"/>
      <c r="H86" s="142"/>
      <c r="I86" s="142"/>
      <c r="J86" s="45" t="s">
        <v>968</v>
      </c>
      <c r="K86" s="74">
        <f>'Stavební rozpočet'!K615</f>
        <v>5.5</v>
      </c>
      <c r="L86" s="53">
        <f>'Stavební rozpočet'!L615</f>
        <v>0</v>
      </c>
      <c r="M86" s="65">
        <f>K86*L86</f>
        <v>0</v>
      </c>
      <c r="N86" s="17"/>
      <c r="Z86" s="33">
        <f>IF(AQ86="5",BJ86,0)</f>
        <v>0</v>
      </c>
      <c r="AB86" s="33">
        <f>IF(AQ86="1",BH86,0)</f>
        <v>0</v>
      </c>
      <c r="AC86" s="33">
        <f>IF(AQ86="1",BI86,0)</f>
        <v>0</v>
      </c>
      <c r="AD86" s="33">
        <f>IF(AQ86="7",BH86,0)</f>
        <v>0</v>
      </c>
      <c r="AE86" s="33">
        <f>IF(AQ86="7",BI86,0)</f>
        <v>0</v>
      </c>
      <c r="AF86" s="33">
        <f>IF(AQ86="2",BH86,0)</f>
        <v>0</v>
      </c>
      <c r="AG86" s="33">
        <f>IF(AQ86="2",BI86,0)</f>
        <v>0</v>
      </c>
      <c r="AH86" s="33">
        <f>IF(AQ86="0",BJ86,0)</f>
        <v>0</v>
      </c>
      <c r="AI86" s="58" t="s">
        <v>63</v>
      </c>
      <c r="AJ86" s="53">
        <f>IF(AN86=0,M86,0)</f>
        <v>0</v>
      </c>
      <c r="AK86" s="53">
        <f>IF(AN86=15,M86,0)</f>
        <v>0</v>
      </c>
      <c r="AL86" s="53">
        <f>IF(AN86=21,M86,0)</f>
        <v>0</v>
      </c>
      <c r="AN86" s="33">
        <v>21</v>
      </c>
      <c r="AO86" s="33">
        <f>L86*0.357346835443038</f>
        <v>0</v>
      </c>
      <c r="AP86" s="33">
        <f>L86*(1-0.357346835443038)</f>
        <v>0</v>
      </c>
      <c r="AQ86" s="59" t="s">
        <v>80</v>
      </c>
      <c r="AV86" s="33">
        <f>AW86+AX86</f>
        <v>0</v>
      </c>
      <c r="AW86" s="33">
        <f>K86*AO86</f>
        <v>0</v>
      </c>
      <c r="AX86" s="33">
        <f>K86*AP86</f>
        <v>0</v>
      </c>
      <c r="AY86" s="61" t="s">
        <v>1008</v>
      </c>
      <c r="AZ86" s="61" t="s">
        <v>1031</v>
      </c>
      <c r="BA86" s="58" t="s">
        <v>1039</v>
      </c>
      <c r="BC86" s="33">
        <f>AW86+AX86</f>
        <v>0</v>
      </c>
      <c r="BD86" s="33">
        <f>L86/(100-BE86)*100</f>
        <v>0</v>
      </c>
      <c r="BE86" s="33">
        <v>0</v>
      </c>
      <c r="BF86" s="33">
        <f>86</f>
        <v>86</v>
      </c>
      <c r="BH86" s="53">
        <f>K86*AO86</f>
        <v>0</v>
      </c>
      <c r="BI86" s="53">
        <f>K86*AP86</f>
        <v>0</v>
      </c>
      <c r="BJ86" s="53">
        <f>K86*L86</f>
        <v>0</v>
      </c>
      <c r="BK86" s="53" t="s">
        <v>1046</v>
      </c>
      <c r="BL86" s="33">
        <v>97</v>
      </c>
    </row>
    <row r="87" spans="1:14" ht="12.75">
      <c r="A87" s="17"/>
      <c r="D87" s="143" t="s">
        <v>914</v>
      </c>
      <c r="E87" s="144"/>
      <c r="F87" s="144"/>
      <c r="G87" s="144"/>
      <c r="H87" s="144"/>
      <c r="I87" s="144"/>
      <c r="K87" s="75">
        <v>5.5</v>
      </c>
      <c r="M87" s="14"/>
      <c r="N87" s="17"/>
    </row>
    <row r="88" spans="1:47" ht="12.75">
      <c r="A88" s="37"/>
      <c r="B88" s="44" t="s">
        <v>63</v>
      </c>
      <c r="C88" s="44" t="s">
        <v>364</v>
      </c>
      <c r="D88" s="139" t="s">
        <v>789</v>
      </c>
      <c r="E88" s="140"/>
      <c r="F88" s="140"/>
      <c r="G88" s="140"/>
      <c r="H88" s="140"/>
      <c r="I88" s="140"/>
      <c r="J88" s="50" t="s">
        <v>59</v>
      </c>
      <c r="K88" s="50" t="s">
        <v>59</v>
      </c>
      <c r="L88" s="50" t="s">
        <v>59</v>
      </c>
      <c r="M88" s="64">
        <f>SUM(M89:M112)</f>
        <v>0</v>
      </c>
      <c r="N88" s="17"/>
      <c r="AI88" s="58" t="s">
        <v>63</v>
      </c>
      <c r="AS88" s="68">
        <f>SUM(AJ89:AJ112)</f>
        <v>0</v>
      </c>
      <c r="AT88" s="68">
        <f>SUM(AK89:AK112)</f>
        <v>0</v>
      </c>
      <c r="AU88" s="68">
        <f>SUM(AL89:AL112)</f>
        <v>0</v>
      </c>
    </row>
    <row r="89" spans="1:64" ht="12.75">
      <c r="A89" s="38" t="s">
        <v>104</v>
      </c>
      <c r="B89" s="45" t="s">
        <v>63</v>
      </c>
      <c r="C89" s="45" t="s">
        <v>365</v>
      </c>
      <c r="D89" s="141" t="s">
        <v>790</v>
      </c>
      <c r="E89" s="142"/>
      <c r="F89" s="142"/>
      <c r="G89" s="142"/>
      <c r="H89" s="142"/>
      <c r="I89" s="142"/>
      <c r="J89" s="45" t="s">
        <v>974</v>
      </c>
      <c r="K89" s="74">
        <f>'Stavební rozpočet'!K618</f>
        <v>464.537</v>
      </c>
      <c r="L89" s="53">
        <f>'Stavební rozpočet'!L618</f>
        <v>0</v>
      </c>
      <c r="M89" s="65">
        <f>K89*L89</f>
        <v>0</v>
      </c>
      <c r="N89" s="17"/>
      <c r="Z89" s="33">
        <f>IF(AQ89="5",BJ89,0)</f>
        <v>0</v>
      </c>
      <c r="AB89" s="33">
        <f>IF(AQ89="1",BH89,0)</f>
        <v>0</v>
      </c>
      <c r="AC89" s="33">
        <f>IF(AQ89="1",BI89,0)</f>
        <v>0</v>
      </c>
      <c r="AD89" s="33">
        <f>IF(AQ89="7",BH89,0)</f>
        <v>0</v>
      </c>
      <c r="AE89" s="33">
        <f>IF(AQ89="7",BI89,0)</f>
        <v>0</v>
      </c>
      <c r="AF89" s="33">
        <f>IF(AQ89="2",BH89,0)</f>
        <v>0</v>
      </c>
      <c r="AG89" s="33">
        <f>IF(AQ89="2",BI89,0)</f>
        <v>0</v>
      </c>
      <c r="AH89" s="33">
        <f>IF(AQ89="0",BJ89,0)</f>
        <v>0</v>
      </c>
      <c r="AI89" s="58" t="s">
        <v>63</v>
      </c>
      <c r="AJ89" s="53">
        <f>IF(AN89=0,M89,0)</f>
        <v>0</v>
      </c>
      <c r="AK89" s="53">
        <f>IF(AN89=15,M89,0)</f>
        <v>0</v>
      </c>
      <c r="AL89" s="53">
        <f>IF(AN89=21,M89,0)</f>
        <v>0</v>
      </c>
      <c r="AN89" s="33">
        <v>21</v>
      </c>
      <c r="AO89" s="33">
        <f>L89*0.0100452498798655</f>
        <v>0</v>
      </c>
      <c r="AP89" s="33">
        <f>L89*(1-0.0100452498798655)</f>
        <v>0</v>
      </c>
      <c r="AQ89" s="59" t="s">
        <v>84</v>
      </c>
      <c r="AV89" s="33">
        <f>AW89+AX89</f>
        <v>0</v>
      </c>
      <c r="AW89" s="33">
        <f>K89*AO89</f>
        <v>0</v>
      </c>
      <c r="AX89" s="33">
        <f>K89*AP89</f>
        <v>0</v>
      </c>
      <c r="AY89" s="61" t="s">
        <v>1011</v>
      </c>
      <c r="AZ89" s="61" t="s">
        <v>1031</v>
      </c>
      <c r="BA89" s="58" t="s">
        <v>1039</v>
      </c>
      <c r="BC89" s="33">
        <f>AW89+AX89</f>
        <v>0</v>
      </c>
      <c r="BD89" s="33">
        <f>L89/(100-BE89)*100</f>
        <v>0</v>
      </c>
      <c r="BE89" s="33">
        <v>0</v>
      </c>
      <c r="BF89" s="33">
        <f>89</f>
        <v>89</v>
      </c>
      <c r="BH89" s="53">
        <f>K89*AO89</f>
        <v>0</v>
      </c>
      <c r="BI89" s="53">
        <f>K89*AP89</f>
        <v>0</v>
      </c>
      <c r="BJ89" s="53">
        <f>K89*L89</f>
        <v>0</v>
      </c>
      <c r="BK89" s="53" t="s">
        <v>1046</v>
      </c>
      <c r="BL89" s="33" t="s">
        <v>364</v>
      </c>
    </row>
    <row r="90" spans="1:14" ht="12.75">
      <c r="A90" s="17"/>
      <c r="D90" s="143" t="s">
        <v>915</v>
      </c>
      <c r="E90" s="144"/>
      <c r="F90" s="144"/>
      <c r="G90" s="144"/>
      <c r="H90" s="144"/>
      <c r="I90" s="144"/>
      <c r="K90" s="75">
        <v>464.537</v>
      </c>
      <c r="M90" s="14"/>
      <c r="N90" s="17"/>
    </row>
    <row r="91" spans="1:64" ht="12.75">
      <c r="A91" s="38" t="s">
        <v>105</v>
      </c>
      <c r="B91" s="45" t="s">
        <v>63</v>
      </c>
      <c r="C91" s="45" t="s">
        <v>366</v>
      </c>
      <c r="D91" s="141" t="s">
        <v>792</v>
      </c>
      <c r="E91" s="142"/>
      <c r="F91" s="142"/>
      <c r="G91" s="142"/>
      <c r="H91" s="142"/>
      <c r="I91" s="142"/>
      <c r="J91" s="45" t="s">
        <v>974</v>
      </c>
      <c r="K91" s="74">
        <f>'Stavební rozpočet'!K620</f>
        <v>5838.856</v>
      </c>
      <c r="L91" s="53">
        <f>'Stavební rozpočet'!L620</f>
        <v>0</v>
      </c>
      <c r="M91" s="65">
        <f>K91*L91</f>
        <v>0</v>
      </c>
      <c r="N91" s="17"/>
      <c r="Z91" s="33">
        <f>IF(AQ91="5",BJ91,0)</f>
        <v>0</v>
      </c>
      <c r="AB91" s="33">
        <f>IF(AQ91="1",BH91,0)</f>
        <v>0</v>
      </c>
      <c r="AC91" s="33">
        <f>IF(AQ91="1",BI91,0)</f>
        <v>0</v>
      </c>
      <c r="AD91" s="33">
        <f>IF(AQ91="7",BH91,0)</f>
        <v>0</v>
      </c>
      <c r="AE91" s="33">
        <f>IF(AQ91="7",BI91,0)</f>
        <v>0</v>
      </c>
      <c r="AF91" s="33">
        <f>IF(AQ91="2",BH91,0)</f>
        <v>0</v>
      </c>
      <c r="AG91" s="33">
        <f>IF(AQ91="2",BI91,0)</f>
        <v>0</v>
      </c>
      <c r="AH91" s="33">
        <f>IF(AQ91="0",BJ91,0)</f>
        <v>0</v>
      </c>
      <c r="AI91" s="58" t="s">
        <v>63</v>
      </c>
      <c r="AJ91" s="53">
        <f>IF(AN91=0,M91,0)</f>
        <v>0</v>
      </c>
      <c r="AK91" s="53">
        <f>IF(AN91=15,M91,0)</f>
        <v>0</v>
      </c>
      <c r="AL91" s="53">
        <f>IF(AN91=21,M91,0)</f>
        <v>0</v>
      </c>
      <c r="AN91" s="33">
        <v>21</v>
      </c>
      <c r="AO91" s="33">
        <f>L91*0</f>
        <v>0</v>
      </c>
      <c r="AP91" s="33">
        <f>L91*(1-0)</f>
        <v>0</v>
      </c>
      <c r="AQ91" s="59" t="s">
        <v>84</v>
      </c>
      <c r="AV91" s="33">
        <f>AW91+AX91</f>
        <v>0</v>
      </c>
      <c r="AW91" s="33">
        <f>K91*AO91</f>
        <v>0</v>
      </c>
      <c r="AX91" s="33">
        <f>K91*AP91</f>
        <v>0</v>
      </c>
      <c r="AY91" s="61" t="s">
        <v>1011</v>
      </c>
      <c r="AZ91" s="61" t="s">
        <v>1031</v>
      </c>
      <c r="BA91" s="58" t="s">
        <v>1039</v>
      </c>
      <c r="BC91" s="33">
        <f>AW91+AX91</f>
        <v>0</v>
      </c>
      <c r="BD91" s="33">
        <f>L91/(100-BE91)*100</f>
        <v>0</v>
      </c>
      <c r="BE91" s="33">
        <v>0</v>
      </c>
      <c r="BF91" s="33">
        <f>91</f>
        <v>91</v>
      </c>
      <c r="BH91" s="53">
        <f>K91*AO91</f>
        <v>0</v>
      </c>
      <c r="BI91" s="53">
        <f>K91*AP91</f>
        <v>0</v>
      </c>
      <c r="BJ91" s="53">
        <f>K91*L91</f>
        <v>0</v>
      </c>
      <c r="BK91" s="53" t="s">
        <v>1046</v>
      </c>
      <c r="BL91" s="33" t="s">
        <v>364</v>
      </c>
    </row>
    <row r="92" spans="1:14" ht="12.75">
      <c r="A92" s="17"/>
      <c r="D92" s="143" t="s">
        <v>916</v>
      </c>
      <c r="E92" s="144"/>
      <c r="F92" s="144"/>
      <c r="G92" s="144"/>
      <c r="H92" s="144"/>
      <c r="I92" s="144"/>
      <c r="K92" s="75">
        <v>2772.936</v>
      </c>
      <c r="M92" s="14"/>
      <c r="N92" s="17"/>
    </row>
    <row r="93" spans="1:14" ht="12.75">
      <c r="A93" s="17"/>
      <c r="D93" s="143" t="s">
        <v>917</v>
      </c>
      <c r="E93" s="144"/>
      <c r="F93" s="144"/>
      <c r="G93" s="144"/>
      <c r="H93" s="144"/>
      <c r="I93" s="144"/>
      <c r="K93" s="75">
        <v>3065.92</v>
      </c>
      <c r="M93" s="14"/>
      <c r="N93" s="17"/>
    </row>
    <row r="94" spans="1:64" ht="12.75">
      <c r="A94" s="38" t="s">
        <v>106</v>
      </c>
      <c r="B94" s="45" t="s">
        <v>63</v>
      </c>
      <c r="C94" s="45" t="s">
        <v>367</v>
      </c>
      <c r="D94" s="141" t="s">
        <v>794</v>
      </c>
      <c r="E94" s="142"/>
      <c r="F94" s="142"/>
      <c r="G94" s="142"/>
      <c r="H94" s="142"/>
      <c r="I94" s="142"/>
      <c r="J94" s="45" t="s">
        <v>974</v>
      </c>
      <c r="K94" s="74">
        <f>'Stavební rozpočet'!K623</f>
        <v>464.537</v>
      </c>
      <c r="L94" s="53">
        <f>'Stavební rozpočet'!L623</f>
        <v>0</v>
      </c>
      <c r="M94" s="65">
        <f>K94*L94</f>
        <v>0</v>
      </c>
      <c r="N94" s="17"/>
      <c r="Z94" s="33">
        <f>IF(AQ94="5",BJ94,0)</f>
        <v>0</v>
      </c>
      <c r="AB94" s="33">
        <f>IF(AQ94="1",BH94,0)</f>
        <v>0</v>
      </c>
      <c r="AC94" s="33">
        <f>IF(AQ94="1",BI94,0)</f>
        <v>0</v>
      </c>
      <c r="AD94" s="33">
        <f>IF(AQ94="7",BH94,0)</f>
        <v>0</v>
      </c>
      <c r="AE94" s="33">
        <f>IF(AQ94="7",BI94,0)</f>
        <v>0</v>
      </c>
      <c r="AF94" s="33">
        <f>IF(AQ94="2",BH94,0)</f>
        <v>0</v>
      </c>
      <c r="AG94" s="33">
        <f>IF(AQ94="2",BI94,0)</f>
        <v>0</v>
      </c>
      <c r="AH94" s="33">
        <f>IF(AQ94="0",BJ94,0)</f>
        <v>0</v>
      </c>
      <c r="AI94" s="58" t="s">
        <v>63</v>
      </c>
      <c r="AJ94" s="53">
        <f>IF(AN94=0,M94,0)</f>
        <v>0</v>
      </c>
      <c r="AK94" s="53">
        <f>IF(AN94=15,M94,0)</f>
        <v>0</v>
      </c>
      <c r="AL94" s="53">
        <f>IF(AN94=21,M94,0)</f>
        <v>0</v>
      </c>
      <c r="AN94" s="33">
        <v>21</v>
      </c>
      <c r="AO94" s="33">
        <f>L94*0</f>
        <v>0</v>
      </c>
      <c r="AP94" s="33">
        <f>L94*(1-0)</f>
        <v>0</v>
      </c>
      <c r="AQ94" s="59" t="s">
        <v>84</v>
      </c>
      <c r="AV94" s="33">
        <f>AW94+AX94</f>
        <v>0</v>
      </c>
      <c r="AW94" s="33">
        <f>K94*AO94</f>
        <v>0</v>
      </c>
      <c r="AX94" s="33">
        <f>K94*AP94</f>
        <v>0</v>
      </c>
      <c r="AY94" s="61" t="s">
        <v>1011</v>
      </c>
      <c r="AZ94" s="61" t="s">
        <v>1031</v>
      </c>
      <c r="BA94" s="58" t="s">
        <v>1039</v>
      </c>
      <c r="BC94" s="33">
        <f>AW94+AX94</f>
        <v>0</v>
      </c>
      <c r="BD94" s="33">
        <f>L94/(100-BE94)*100</f>
        <v>0</v>
      </c>
      <c r="BE94" s="33">
        <v>0</v>
      </c>
      <c r="BF94" s="33">
        <f>94</f>
        <v>94</v>
      </c>
      <c r="BH94" s="53">
        <f>K94*AO94</f>
        <v>0</v>
      </c>
      <c r="BI94" s="53">
        <f>K94*AP94</f>
        <v>0</v>
      </c>
      <c r="BJ94" s="53">
        <f>K94*L94</f>
        <v>0</v>
      </c>
      <c r="BK94" s="53" t="s">
        <v>1046</v>
      </c>
      <c r="BL94" s="33" t="s">
        <v>364</v>
      </c>
    </row>
    <row r="95" spans="1:14" ht="12.75">
      <c r="A95" s="17"/>
      <c r="D95" s="143" t="s">
        <v>918</v>
      </c>
      <c r="E95" s="144"/>
      <c r="F95" s="144"/>
      <c r="G95" s="144"/>
      <c r="H95" s="144"/>
      <c r="I95" s="144"/>
      <c r="K95" s="75">
        <v>234.7</v>
      </c>
      <c r="M95" s="14"/>
      <c r="N95" s="17"/>
    </row>
    <row r="96" spans="1:14" ht="12.75">
      <c r="A96" s="17"/>
      <c r="D96" s="143" t="s">
        <v>919</v>
      </c>
      <c r="E96" s="144"/>
      <c r="F96" s="144"/>
      <c r="G96" s="144"/>
      <c r="H96" s="144"/>
      <c r="I96" s="144"/>
      <c r="K96" s="75">
        <v>47.806</v>
      </c>
      <c r="M96" s="14"/>
      <c r="N96" s="17"/>
    </row>
    <row r="97" spans="1:14" ht="12.75">
      <c r="A97" s="17"/>
      <c r="D97" s="143" t="s">
        <v>920</v>
      </c>
      <c r="E97" s="144"/>
      <c r="F97" s="144"/>
      <c r="G97" s="144"/>
      <c r="H97" s="144"/>
      <c r="I97" s="144"/>
      <c r="K97" s="75">
        <v>62.611</v>
      </c>
      <c r="M97" s="14"/>
      <c r="N97" s="17"/>
    </row>
    <row r="98" spans="1:14" ht="12.75">
      <c r="A98" s="17"/>
      <c r="D98" s="143" t="s">
        <v>921</v>
      </c>
      <c r="E98" s="144"/>
      <c r="F98" s="144"/>
      <c r="G98" s="144"/>
      <c r="H98" s="144"/>
      <c r="I98" s="144"/>
      <c r="K98" s="75">
        <v>117.92</v>
      </c>
      <c r="M98" s="14"/>
      <c r="N98" s="17"/>
    </row>
    <row r="99" spans="1:14" ht="12.75">
      <c r="A99" s="17"/>
      <c r="D99" s="143" t="s">
        <v>922</v>
      </c>
      <c r="E99" s="144"/>
      <c r="F99" s="144"/>
      <c r="G99" s="144"/>
      <c r="H99" s="144"/>
      <c r="I99" s="144"/>
      <c r="K99" s="75">
        <v>1.5</v>
      </c>
      <c r="M99" s="14"/>
      <c r="N99" s="17"/>
    </row>
    <row r="100" spans="1:64" ht="12.75">
      <c r="A100" s="38" t="s">
        <v>107</v>
      </c>
      <c r="B100" s="45" t="s">
        <v>63</v>
      </c>
      <c r="C100" s="45" t="s">
        <v>368</v>
      </c>
      <c r="D100" s="141" t="s">
        <v>795</v>
      </c>
      <c r="E100" s="142"/>
      <c r="F100" s="142"/>
      <c r="G100" s="142"/>
      <c r="H100" s="142"/>
      <c r="I100" s="142"/>
      <c r="J100" s="45" t="s">
        <v>974</v>
      </c>
      <c r="K100" s="74">
        <f>'Stavební rozpočet'!K629</f>
        <v>464.537</v>
      </c>
      <c r="L100" s="53">
        <f>'Stavební rozpočet'!L629</f>
        <v>0</v>
      </c>
      <c r="M100" s="65">
        <f>K100*L100</f>
        <v>0</v>
      </c>
      <c r="N100" s="17"/>
      <c r="Z100" s="33">
        <f>IF(AQ100="5",BJ100,0)</f>
        <v>0</v>
      </c>
      <c r="AB100" s="33">
        <f>IF(AQ100="1",BH100,0)</f>
        <v>0</v>
      </c>
      <c r="AC100" s="33">
        <f>IF(AQ100="1",BI100,0)</f>
        <v>0</v>
      </c>
      <c r="AD100" s="33">
        <f>IF(AQ100="7",BH100,0)</f>
        <v>0</v>
      </c>
      <c r="AE100" s="33">
        <f>IF(AQ100="7",BI100,0)</f>
        <v>0</v>
      </c>
      <c r="AF100" s="33">
        <f>IF(AQ100="2",BH100,0)</f>
        <v>0</v>
      </c>
      <c r="AG100" s="33">
        <f>IF(AQ100="2",BI100,0)</f>
        <v>0</v>
      </c>
      <c r="AH100" s="33">
        <f>IF(AQ100="0",BJ100,0)</f>
        <v>0</v>
      </c>
      <c r="AI100" s="58" t="s">
        <v>63</v>
      </c>
      <c r="AJ100" s="53">
        <f>IF(AN100=0,M100,0)</f>
        <v>0</v>
      </c>
      <c r="AK100" s="53">
        <f>IF(AN100=15,M100,0)</f>
        <v>0</v>
      </c>
      <c r="AL100" s="53">
        <f>IF(AN100=21,M100,0)</f>
        <v>0</v>
      </c>
      <c r="AN100" s="33">
        <v>21</v>
      </c>
      <c r="AO100" s="33">
        <f>L100*0</f>
        <v>0</v>
      </c>
      <c r="AP100" s="33">
        <f>L100*(1-0)</f>
        <v>0</v>
      </c>
      <c r="AQ100" s="59" t="s">
        <v>84</v>
      </c>
      <c r="AV100" s="33">
        <f>AW100+AX100</f>
        <v>0</v>
      </c>
      <c r="AW100" s="33">
        <f>K100*AO100</f>
        <v>0</v>
      </c>
      <c r="AX100" s="33">
        <f>K100*AP100</f>
        <v>0</v>
      </c>
      <c r="AY100" s="61" t="s">
        <v>1011</v>
      </c>
      <c r="AZ100" s="61" t="s">
        <v>1031</v>
      </c>
      <c r="BA100" s="58" t="s">
        <v>1039</v>
      </c>
      <c r="BC100" s="33">
        <f>AW100+AX100</f>
        <v>0</v>
      </c>
      <c r="BD100" s="33">
        <f>L100/(100-BE100)*100</f>
        <v>0</v>
      </c>
      <c r="BE100" s="33">
        <v>0</v>
      </c>
      <c r="BF100" s="33">
        <f>100</f>
        <v>100</v>
      </c>
      <c r="BH100" s="53">
        <f>K100*AO100</f>
        <v>0</v>
      </c>
      <c r="BI100" s="53">
        <f>K100*AP100</f>
        <v>0</v>
      </c>
      <c r="BJ100" s="53">
        <f>K100*L100</f>
        <v>0</v>
      </c>
      <c r="BK100" s="53" t="s">
        <v>1046</v>
      </c>
      <c r="BL100" s="33" t="s">
        <v>364</v>
      </c>
    </row>
    <row r="101" spans="1:14" ht="12.75">
      <c r="A101" s="17"/>
      <c r="D101" s="143" t="s">
        <v>923</v>
      </c>
      <c r="E101" s="144"/>
      <c r="F101" s="144"/>
      <c r="G101" s="144"/>
      <c r="H101" s="144"/>
      <c r="I101" s="144"/>
      <c r="K101" s="75">
        <v>234.7</v>
      </c>
      <c r="M101" s="14"/>
      <c r="N101" s="17"/>
    </row>
    <row r="102" spans="1:14" ht="12.75">
      <c r="A102" s="17"/>
      <c r="D102" s="143" t="s">
        <v>919</v>
      </c>
      <c r="E102" s="144"/>
      <c r="F102" s="144"/>
      <c r="G102" s="144"/>
      <c r="H102" s="144"/>
      <c r="I102" s="144"/>
      <c r="K102" s="75">
        <v>47.806</v>
      </c>
      <c r="M102" s="14"/>
      <c r="N102" s="17"/>
    </row>
    <row r="103" spans="1:14" ht="12.75">
      <c r="A103" s="17"/>
      <c r="D103" s="143" t="s">
        <v>920</v>
      </c>
      <c r="E103" s="144"/>
      <c r="F103" s="144"/>
      <c r="G103" s="144"/>
      <c r="H103" s="144"/>
      <c r="I103" s="144"/>
      <c r="K103" s="75">
        <v>62.611</v>
      </c>
      <c r="M103" s="14"/>
      <c r="N103" s="17"/>
    </row>
    <row r="104" spans="1:14" ht="12.75">
      <c r="A104" s="17"/>
      <c r="D104" s="143" t="s">
        <v>921</v>
      </c>
      <c r="E104" s="144"/>
      <c r="F104" s="144"/>
      <c r="G104" s="144"/>
      <c r="H104" s="144"/>
      <c r="I104" s="144"/>
      <c r="K104" s="75">
        <v>117.92</v>
      </c>
      <c r="M104" s="14"/>
      <c r="N104" s="17"/>
    </row>
    <row r="105" spans="1:14" ht="12.75">
      <c r="A105" s="17"/>
      <c r="D105" s="143" t="s">
        <v>922</v>
      </c>
      <c r="E105" s="144"/>
      <c r="F105" s="144"/>
      <c r="G105" s="144"/>
      <c r="H105" s="144"/>
      <c r="I105" s="144"/>
      <c r="K105" s="75">
        <v>1.5</v>
      </c>
      <c r="M105" s="14"/>
      <c r="N105" s="17"/>
    </row>
    <row r="106" spans="1:64" ht="12.75">
      <c r="A106" s="38" t="s">
        <v>108</v>
      </c>
      <c r="B106" s="45" t="s">
        <v>63</v>
      </c>
      <c r="C106" s="45" t="s">
        <v>369</v>
      </c>
      <c r="D106" s="141" t="s">
        <v>796</v>
      </c>
      <c r="E106" s="142"/>
      <c r="F106" s="142"/>
      <c r="G106" s="142"/>
      <c r="H106" s="142"/>
      <c r="I106" s="142"/>
      <c r="J106" s="45" t="s">
        <v>974</v>
      </c>
      <c r="K106" s="74">
        <f>'Stavební rozpočet'!K635</f>
        <v>234.7</v>
      </c>
      <c r="L106" s="53">
        <f>'Stavební rozpočet'!L635</f>
        <v>0</v>
      </c>
      <c r="M106" s="65">
        <f>K106*L106</f>
        <v>0</v>
      </c>
      <c r="N106" s="17"/>
      <c r="Z106" s="33">
        <f>IF(AQ106="5",BJ106,0)</f>
        <v>0</v>
      </c>
      <c r="AB106" s="33">
        <f>IF(AQ106="1",BH106,0)</f>
        <v>0</v>
      </c>
      <c r="AC106" s="33">
        <f>IF(AQ106="1",BI106,0)</f>
        <v>0</v>
      </c>
      <c r="AD106" s="33">
        <f>IF(AQ106="7",BH106,0)</f>
        <v>0</v>
      </c>
      <c r="AE106" s="33">
        <f>IF(AQ106="7",BI106,0)</f>
        <v>0</v>
      </c>
      <c r="AF106" s="33">
        <f>IF(AQ106="2",BH106,0)</f>
        <v>0</v>
      </c>
      <c r="AG106" s="33">
        <f>IF(AQ106="2",BI106,0)</f>
        <v>0</v>
      </c>
      <c r="AH106" s="33">
        <f>IF(AQ106="0",BJ106,0)</f>
        <v>0</v>
      </c>
      <c r="AI106" s="58" t="s">
        <v>63</v>
      </c>
      <c r="AJ106" s="53">
        <f>IF(AN106=0,M106,0)</f>
        <v>0</v>
      </c>
      <c r="AK106" s="53">
        <f>IF(AN106=15,M106,0)</f>
        <v>0</v>
      </c>
      <c r="AL106" s="53">
        <f>IF(AN106=21,M106,0)</f>
        <v>0</v>
      </c>
      <c r="AN106" s="33">
        <v>21</v>
      </c>
      <c r="AO106" s="33">
        <f>L106*0</f>
        <v>0</v>
      </c>
      <c r="AP106" s="33">
        <f>L106*(1-0)</f>
        <v>0</v>
      </c>
      <c r="AQ106" s="59" t="s">
        <v>84</v>
      </c>
      <c r="AV106" s="33">
        <f>AW106+AX106</f>
        <v>0</v>
      </c>
      <c r="AW106" s="33">
        <f>K106*AO106</f>
        <v>0</v>
      </c>
      <c r="AX106" s="33">
        <f>K106*AP106</f>
        <v>0</v>
      </c>
      <c r="AY106" s="61" t="s">
        <v>1011</v>
      </c>
      <c r="AZ106" s="61" t="s">
        <v>1031</v>
      </c>
      <c r="BA106" s="58" t="s">
        <v>1039</v>
      </c>
      <c r="BC106" s="33">
        <f>AW106+AX106</f>
        <v>0</v>
      </c>
      <c r="BD106" s="33">
        <f>L106/(100-BE106)*100</f>
        <v>0</v>
      </c>
      <c r="BE106" s="33">
        <v>0</v>
      </c>
      <c r="BF106" s="33">
        <f>106</f>
        <v>106</v>
      </c>
      <c r="BH106" s="53">
        <f>K106*AO106</f>
        <v>0</v>
      </c>
      <c r="BI106" s="53">
        <f>K106*AP106</f>
        <v>0</v>
      </c>
      <c r="BJ106" s="53">
        <f>K106*L106</f>
        <v>0</v>
      </c>
      <c r="BK106" s="53" t="s">
        <v>1046</v>
      </c>
      <c r="BL106" s="33" t="s">
        <v>364</v>
      </c>
    </row>
    <row r="107" spans="1:14" ht="12.75">
      <c r="A107" s="17"/>
      <c r="D107" s="143" t="s">
        <v>924</v>
      </c>
      <c r="E107" s="144"/>
      <c r="F107" s="144"/>
      <c r="G107" s="144"/>
      <c r="H107" s="144"/>
      <c r="I107" s="144"/>
      <c r="K107" s="75">
        <v>471.9</v>
      </c>
      <c r="M107" s="14"/>
      <c r="N107" s="17"/>
    </row>
    <row r="108" spans="1:14" ht="12.75">
      <c r="A108" s="17"/>
      <c r="D108" s="143" t="s">
        <v>925</v>
      </c>
      <c r="E108" s="144"/>
      <c r="F108" s="144"/>
      <c r="G108" s="144"/>
      <c r="H108" s="144"/>
      <c r="I108" s="144"/>
      <c r="K108" s="75">
        <v>-237.2</v>
      </c>
      <c r="M108" s="14"/>
      <c r="N108" s="17"/>
    </row>
    <row r="109" spans="1:64" ht="12.75">
      <c r="A109" s="38" t="s">
        <v>109</v>
      </c>
      <c r="B109" s="45" t="s">
        <v>63</v>
      </c>
      <c r="C109" s="45" t="s">
        <v>370</v>
      </c>
      <c r="D109" s="141" t="s">
        <v>799</v>
      </c>
      <c r="E109" s="142"/>
      <c r="F109" s="142"/>
      <c r="G109" s="142"/>
      <c r="H109" s="142"/>
      <c r="I109" s="142"/>
      <c r="J109" s="45" t="s">
        <v>974</v>
      </c>
      <c r="K109" s="74">
        <f>'Stavební rozpočet'!K638</f>
        <v>47.806</v>
      </c>
      <c r="L109" s="53">
        <f>'Stavební rozpočet'!L638</f>
        <v>0</v>
      </c>
      <c r="M109" s="65">
        <f>K109*L109</f>
        <v>0</v>
      </c>
      <c r="N109" s="17"/>
      <c r="Z109" s="33">
        <f>IF(AQ109="5",BJ109,0)</f>
        <v>0</v>
      </c>
      <c r="AB109" s="33">
        <f>IF(AQ109="1",BH109,0)</f>
        <v>0</v>
      </c>
      <c r="AC109" s="33">
        <f>IF(AQ109="1",BI109,0)</f>
        <v>0</v>
      </c>
      <c r="AD109" s="33">
        <f>IF(AQ109="7",BH109,0)</f>
        <v>0</v>
      </c>
      <c r="AE109" s="33">
        <f>IF(AQ109="7",BI109,0)</f>
        <v>0</v>
      </c>
      <c r="AF109" s="33">
        <f>IF(AQ109="2",BH109,0)</f>
        <v>0</v>
      </c>
      <c r="AG109" s="33">
        <f>IF(AQ109="2",BI109,0)</f>
        <v>0</v>
      </c>
      <c r="AH109" s="33">
        <f>IF(AQ109="0",BJ109,0)</f>
        <v>0</v>
      </c>
      <c r="AI109" s="58" t="s">
        <v>63</v>
      </c>
      <c r="AJ109" s="53">
        <f>IF(AN109=0,M109,0)</f>
        <v>0</v>
      </c>
      <c r="AK109" s="53">
        <f>IF(AN109=15,M109,0)</f>
        <v>0</v>
      </c>
      <c r="AL109" s="53">
        <f>IF(AN109=21,M109,0)</f>
        <v>0</v>
      </c>
      <c r="AN109" s="33">
        <v>21</v>
      </c>
      <c r="AO109" s="33">
        <f>L109*0</f>
        <v>0</v>
      </c>
      <c r="AP109" s="33">
        <f>L109*(1-0)</f>
        <v>0</v>
      </c>
      <c r="AQ109" s="59" t="s">
        <v>84</v>
      </c>
      <c r="AV109" s="33">
        <f>AW109+AX109</f>
        <v>0</v>
      </c>
      <c r="AW109" s="33">
        <f>K109*AO109</f>
        <v>0</v>
      </c>
      <c r="AX109" s="33">
        <f>K109*AP109</f>
        <v>0</v>
      </c>
      <c r="AY109" s="61" t="s">
        <v>1011</v>
      </c>
      <c r="AZ109" s="61" t="s">
        <v>1031</v>
      </c>
      <c r="BA109" s="58" t="s">
        <v>1039</v>
      </c>
      <c r="BC109" s="33">
        <f>AW109+AX109</f>
        <v>0</v>
      </c>
      <c r="BD109" s="33">
        <f>L109/(100-BE109)*100</f>
        <v>0</v>
      </c>
      <c r="BE109" s="33">
        <v>0</v>
      </c>
      <c r="BF109" s="33">
        <f>109</f>
        <v>109</v>
      </c>
      <c r="BH109" s="53">
        <f>K109*AO109</f>
        <v>0</v>
      </c>
      <c r="BI109" s="53">
        <f>K109*AP109</f>
        <v>0</v>
      </c>
      <c r="BJ109" s="53">
        <f>K109*L109</f>
        <v>0</v>
      </c>
      <c r="BK109" s="53" t="s">
        <v>1046</v>
      </c>
      <c r="BL109" s="33" t="s">
        <v>364</v>
      </c>
    </row>
    <row r="110" spans="1:64" ht="12.75">
      <c r="A110" s="38" t="s">
        <v>110</v>
      </c>
      <c r="B110" s="45" t="s">
        <v>63</v>
      </c>
      <c r="C110" s="45" t="s">
        <v>408</v>
      </c>
      <c r="D110" s="141" t="s">
        <v>926</v>
      </c>
      <c r="E110" s="142"/>
      <c r="F110" s="142"/>
      <c r="G110" s="142"/>
      <c r="H110" s="142"/>
      <c r="I110" s="142"/>
      <c r="J110" s="45" t="s">
        <v>974</v>
      </c>
      <c r="K110" s="74">
        <f>'Stavební rozpočet'!K639</f>
        <v>62.611</v>
      </c>
      <c r="L110" s="53">
        <f>'Stavební rozpočet'!L639</f>
        <v>0</v>
      </c>
      <c r="M110" s="65">
        <f>K110*L110</f>
        <v>0</v>
      </c>
      <c r="N110" s="17"/>
      <c r="Z110" s="33">
        <f>IF(AQ110="5",BJ110,0)</f>
        <v>0</v>
      </c>
      <c r="AB110" s="33">
        <f>IF(AQ110="1",BH110,0)</f>
        <v>0</v>
      </c>
      <c r="AC110" s="33">
        <f>IF(AQ110="1",BI110,0)</f>
        <v>0</v>
      </c>
      <c r="AD110" s="33">
        <f>IF(AQ110="7",BH110,0)</f>
        <v>0</v>
      </c>
      <c r="AE110" s="33">
        <f>IF(AQ110="7",BI110,0)</f>
        <v>0</v>
      </c>
      <c r="AF110" s="33">
        <f>IF(AQ110="2",BH110,0)</f>
        <v>0</v>
      </c>
      <c r="AG110" s="33">
        <f>IF(AQ110="2",BI110,0)</f>
        <v>0</v>
      </c>
      <c r="AH110" s="33">
        <f>IF(AQ110="0",BJ110,0)</f>
        <v>0</v>
      </c>
      <c r="AI110" s="58" t="s">
        <v>63</v>
      </c>
      <c r="AJ110" s="53">
        <f>IF(AN110=0,M110,0)</f>
        <v>0</v>
      </c>
      <c r="AK110" s="53">
        <f>IF(AN110=15,M110,0)</f>
        <v>0</v>
      </c>
      <c r="AL110" s="53">
        <f>IF(AN110=21,M110,0)</f>
        <v>0</v>
      </c>
      <c r="AN110" s="33">
        <v>21</v>
      </c>
      <c r="AO110" s="33">
        <f>L110*0</f>
        <v>0</v>
      </c>
      <c r="AP110" s="33">
        <f>L110*(1-0)</f>
        <v>0</v>
      </c>
      <c r="AQ110" s="59" t="s">
        <v>84</v>
      </c>
      <c r="AV110" s="33">
        <f>AW110+AX110</f>
        <v>0</v>
      </c>
      <c r="AW110" s="33">
        <f>K110*AO110</f>
        <v>0</v>
      </c>
      <c r="AX110" s="33">
        <f>K110*AP110</f>
        <v>0</v>
      </c>
      <c r="AY110" s="61" t="s">
        <v>1011</v>
      </c>
      <c r="AZ110" s="61" t="s">
        <v>1031</v>
      </c>
      <c r="BA110" s="58" t="s">
        <v>1039</v>
      </c>
      <c r="BC110" s="33">
        <f>AW110+AX110</f>
        <v>0</v>
      </c>
      <c r="BD110" s="33">
        <f>L110/(100-BE110)*100</f>
        <v>0</v>
      </c>
      <c r="BE110" s="33">
        <v>0</v>
      </c>
      <c r="BF110" s="33">
        <f>110</f>
        <v>110</v>
      </c>
      <c r="BH110" s="53">
        <f>K110*AO110</f>
        <v>0</v>
      </c>
      <c r="BI110" s="53">
        <f>K110*AP110</f>
        <v>0</v>
      </c>
      <c r="BJ110" s="53">
        <f>K110*L110</f>
        <v>0</v>
      </c>
      <c r="BK110" s="53" t="s">
        <v>1046</v>
      </c>
      <c r="BL110" s="33" t="s">
        <v>364</v>
      </c>
    </row>
    <row r="111" spans="1:64" ht="12.75">
      <c r="A111" s="38" t="s">
        <v>111</v>
      </c>
      <c r="B111" s="45" t="s">
        <v>63</v>
      </c>
      <c r="C111" s="45" t="s">
        <v>409</v>
      </c>
      <c r="D111" s="141" t="s">
        <v>927</v>
      </c>
      <c r="E111" s="142"/>
      <c r="F111" s="142"/>
      <c r="G111" s="142"/>
      <c r="H111" s="142"/>
      <c r="I111" s="142"/>
      <c r="J111" s="45" t="s">
        <v>974</v>
      </c>
      <c r="K111" s="74">
        <f>'Stavební rozpočet'!K640</f>
        <v>117.92</v>
      </c>
      <c r="L111" s="53">
        <f>'Stavební rozpočet'!L640</f>
        <v>0</v>
      </c>
      <c r="M111" s="65">
        <f>K111*L111</f>
        <v>0</v>
      </c>
      <c r="N111" s="17"/>
      <c r="Z111" s="33">
        <f>IF(AQ111="5",BJ111,0)</f>
        <v>0</v>
      </c>
      <c r="AB111" s="33">
        <f>IF(AQ111="1",BH111,0)</f>
        <v>0</v>
      </c>
      <c r="AC111" s="33">
        <f>IF(AQ111="1",BI111,0)</f>
        <v>0</v>
      </c>
      <c r="AD111" s="33">
        <f>IF(AQ111="7",BH111,0)</f>
        <v>0</v>
      </c>
      <c r="AE111" s="33">
        <f>IF(AQ111="7",BI111,0)</f>
        <v>0</v>
      </c>
      <c r="AF111" s="33">
        <f>IF(AQ111="2",BH111,0)</f>
        <v>0</v>
      </c>
      <c r="AG111" s="33">
        <f>IF(AQ111="2",BI111,0)</f>
        <v>0</v>
      </c>
      <c r="AH111" s="33">
        <f>IF(AQ111="0",BJ111,0)</f>
        <v>0</v>
      </c>
      <c r="AI111" s="58" t="s">
        <v>63</v>
      </c>
      <c r="AJ111" s="53">
        <f>IF(AN111=0,M111,0)</f>
        <v>0</v>
      </c>
      <c r="AK111" s="53">
        <f>IF(AN111=15,M111,0)</f>
        <v>0</v>
      </c>
      <c r="AL111" s="53">
        <f>IF(AN111=21,M111,0)</f>
        <v>0</v>
      </c>
      <c r="AN111" s="33">
        <v>21</v>
      </c>
      <c r="AO111" s="33">
        <f>L111*0</f>
        <v>0</v>
      </c>
      <c r="AP111" s="33">
        <f>L111*(1-0)</f>
        <v>0</v>
      </c>
      <c r="AQ111" s="59" t="s">
        <v>84</v>
      </c>
      <c r="AV111" s="33">
        <f>AW111+AX111</f>
        <v>0</v>
      </c>
      <c r="AW111" s="33">
        <f>K111*AO111</f>
        <v>0</v>
      </c>
      <c r="AX111" s="33">
        <f>K111*AP111</f>
        <v>0</v>
      </c>
      <c r="AY111" s="61" t="s">
        <v>1011</v>
      </c>
      <c r="AZ111" s="61" t="s">
        <v>1031</v>
      </c>
      <c r="BA111" s="58" t="s">
        <v>1039</v>
      </c>
      <c r="BC111" s="33">
        <f>AW111+AX111</f>
        <v>0</v>
      </c>
      <c r="BD111" s="33">
        <f>L111/(100-BE111)*100</f>
        <v>0</v>
      </c>
      <c r="BE111" s="33">
        <v>0</v>
      </c>
      <c r="BF111" s="33">
        <f>111</f>
        <v>111</v>
      </c>
      <c r="BH111" s="53">
        <f>K111*AO111</f>
        <v>0</v>
      </c>
      <c r="BI111" s="53">
        <f>K111*AP111</f>
        <v>0</v>
      </c>
      <c r="BJ111" s="53">
        <f>K111*L111</f>
        <v>0</v>
      </c>
      <c r="BK111" s="53" t="s">
        <v>1046</v>
      </c>
      <c r="BL111" s="33" t="s">
        <v>364</v>
      </c>
    </row>
    <row r="112" spans="1:64" ht="12.75">
      <c r="A112" s="38" t="s">
        <v>112</v>
      </c>
      <c r="B112" s="45" t="s">
        <v>63</v>
      </c>
      <c r="C112" s="45" t="s">
        <v>410</v>
      </c>
      <c r="D112" s="141" t="s">
        <v>928</v>
      </c>
      <c r="E112" s="142"/>
      <c r="F112" s="142"/>
      <c r="G112" s="142"/>
      <c r="H112" s="142"/>
      <c r="I112" s="142"/>
      <c r="J112" s="45" t="s">
        <v>974</v>
      </c>
      <c r="K112" s="74">
        <f>'Stavební rozpočet'!K641</f>
        <v>1.5</v>
      </c>
      <c r="L112" s="53">
        <f>'Stavební rozpočet'!L641</f>
        <v>0</v>
      </c>
      <c r="M112" s="65">
        <f>K112*L112</f>
        <v>0</v>
      </c>
      <c r="N112" s="17"/>
      <c r="Z112" s="33">
        <f>IF(AQ112="5",BJ112,0)</f>
        <v>0</v>
      </c>
      <c r="AB112" s="33">
        <f>IF(AQ112="1",BH112,0)</f>
        <v>0</v>
      </c>
      <c r="AC112" s="33">
        <f>IF(AQ112="1",BI112,0)</f>
        <v>0</v>
      </c>
      <c r="AD112" s="33">
        <f>IF(AQ112="7",BH112,0)</f>
        <v>0</v>
      </c>
      <c r="AE112" s="33">
        <f>IF(AQ112="7",BI112,0)</f>
        <v>0</v>
      </c>
      <c r="AF112" s="33">
        <f>IF(AQ112="2",BH112,0)</f>
        <v>0</v>
      </c>
      <c r="AG112" s="33">
        <f>IF(AQ112="2",BI112,0)</f>
        <v>0</v>
      </c>
      <c r="AH112" s="33">
        <f>IF(AQ112="0",BJ112,0)</f>
        <v>0</v>
      </c>
      <c r="AI112" s="58" t="s">
        <v>63</v>
      </c>
      <c r="AJ112" s="53">
        <f>IF(AN112=0,M112,0)</f>
        <v>0</v>
      </c>
      <c r="AK112" s="53">
        <f>IF(AN112=15,M112,0)</f>
        <v>0</v>
      </c>
      <c r="AL112" s="53">
        <f>IF(AN112=21,M112,0)</f>
        <v>0</v>
      </c>
      <c r="AN112" s="33">
        <v>21</v>
      </c>
      <c r="AO112" s="33">
        <f>L112*0</f>
        <v>0</v>
      </c>
      <c r="AP112" s="33">
        <f>L112*(1-0)</f>
        <v>0</v>
      </c>
      <c r="AQ112" s="59" t="s">
        <v>84</v>
      </c>
      <c r="AV112" s="33">
        <f>AW112+AX112</f>
        <v>0</v>
      </c>
      <c r="AW112" s="33">
        <f>K112*AO112</f>
        <v>0</v>
      </c>
      <c r="AX112" s="33">
        <f>K112*AP112</f>
        <v>0</v>
      </c>
      <c r="AY112" s="61" t="s">
        <v>1011</v>
      </c>
      <c r="AZ112" s="61" t="s">
        <v>1031</v>
      </c>
      <c r="BA112" s="58" t="s">
        <v>1039</v>
      </c>
      <c r="BC112" s="33">
        <f>AW112+AX112</f>
        <v>0</v>
      </c>
      <c r="BD112" s="33">
        <f>L112/(100-BE112)*100</f>
        <v>0</v>
      </c>
      <c r="BE112" s="33">
        <v>0</v>
      </c>
      <c r="BF112" s="33">
        <f>112</f>
        <v>112</v>
      </c>
      <c r="BH112" s="53">
        <f>K112*AO112</f>
        <v>0</v>
      </c>
      <c r="BI112" s="53">
        <f>K112*AP112</f>
        <v>0</v>
      </c>
      <c r="BJ112" s="53">
        <f>K112*L112</f>
        <v>0</v>
      </c>
      <c r="BK112" s="53" t="s">
        <v>1046</v>
      </c>
      <c r="BL112" s="33" t="s">
        <v>364</v>
      </c>
    </row>
    <row r="113" spans="1:14" ht="12.75">
      <c r="A113" s="11"/>
      <c r="B113" s="1"/>
      <c r="C113" s="1"/>
      <c r="D113" s="152" t="s">
        <v>929</v>
      </c>
      <c r="E113" s="153"/>
      <c r="F113" s="153"/>
      <c r="G113" s="153"/>
      <c r="H113" s="153"/>
      <c r="I113" s="153"/>
      <c r="J113" s="1"/>
      <c r="K113" s="76">
        <v>1.5</v>
      </c>
      <c r="L113" s="1"/>
      <c r="M113" s="57"/>
      <c r="N113" s="17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32">
        <f>ROUND(M13+M29+M35+M44+M55+M63+M75+M78+M85+M88,1)</f>
        <v>0</v>
      </c>
    </row>
    <row r="115" ht="11.25" customHeight="1">
      <c r="A115" s="25" t="s">
        <v>18</v>
      </c>
    </row>
    <row r="116" spans="1:13" ht="12.75">
      <c r="A116" s="93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</row>
  </sheetData>
  <mergeCells count="130">
    <mergeCell ref="D112:I112"/>
    <mergeCell ref="D113:I113"/>
    <mergeCell ref="A116:M116"/>
    <mergeCell ref="D106:I106"/>
    <mergeCell ref="D107:I107"/>
    <mergeCell ref="D108:I108"/>
    <mergeCell ref="D109:I109"/>
    <mergeCell ref="D110:I110"/>
    <mergeCell ref="D111:I111"/>
    <mergeCell ref="D100:I100"/>
    <mergeCell ref="D101:I101"/>
    <mergeCell ref="D102:I102"/>
    <mergeCell ref="D103:I103"/>
    <mergeCell ref="D104:I104"/>
    <mergeCell ref="D105:I105"/>
    <mergeCell ref="D94:I94"/>
    <mergeCell ref="D95:I95"/>
    <mergeCell ref="D96:I96"/>
    <mergeCell ref="D97:I97"/>
    <mergeCell ref="D98:I98"/>
    <mergeCell ref="D99:I99"/>
    <mergeCell ref="D88:I88"/>
    <mergeCell ref="D89:I89"/>
    <mergeCell ref="D90:I90"/>
    <mergeCell ref="D91:I91"/>
    <mergeCell ref="D92:I92"/>
    <mergeCell ref="D93:I93"/>
    <mergeCell ref="D82:I82"/>
    <mergeCell ref="D83:I83"/>
    <mergeCell ref="D84:I84"/>
    <mergeCell ref="D85:I85"/>
    <mergeCell ref="D86:I86"/>
    <mergeCell ref="D87:I87"/>
    <mergeCell ref="D76:I76"/>
    <mergeCell ref="D77:I77"/>
    <mergeCell ref="D78:I78"/>
    <mergeCell ref="D79:I79"/>
    <mergeCell ref="D80:M80"/>
    <mergeCell ref="D81:I81"/>
    <mergeCell ref="D70:I70"/>
    <mergeCell ref="D71:I71"/>
    <mergeCell ref="D72:I72"/>
    <mergeCell ref="D73:I73"/>
    <mergeCell ref="D74:I74"/>
    <mergeCell ref="D75:I75"/>
    <mergeCell ref="D64:I64"/>
    <mergeCell ref="D65:I65"/>
    <mergeCell ref="D66:I66"/>
    <mergeCell ref="D67:I67"/>
    <mergeCell ref="D68:I68"/>
    <mergeCell ref="D69:I69"/>
    <mergeCell ref="D58:I58"/>
    <mergeCell ref="D59:I59"/>
    <mergeCell ref="D60:I60"/>
    <mergeCell ref="D61:I61"/>
    <mergeCell ref="D62:I62"/>
    <mergeCell ref="D63:I63"/>
    <mergeCell ref="D52:I52"/>
    <mergeCell ref="D53:I53"/>
    <mergeCell ref="D54:I54"/>
    <mergeCell ref="D55:I55"/>
    <mergeCell ref="D56:I56"/>
    <mergeCell ref="D57:M57"/>
    <mergeCell ref="D46:I46"/>
    <mergeCell ref="D47:I47"/>
    <mergeCell ref="D48:I48"/>
    <mergeCell ref="D49:I49"/>
    <mergeCell ref="D50:I50"/>
    <mergeCell ref="D51:I51"/>
    <mergeCell ref="D40:I40"/>
    <mergeCell ref="D41:I41"/>
    <mergeCell ref="D42:I42"/>
    <mergeCell ref="D43:I43"/>
    <mergeCell ref="D44:I44"/>
    <mergeCell ref="D45:I45"/>
    <mergeCell ref="D34:I34"/>
    <mergeCell ref="D35:I35"/>
    <mergeCell ref="D36:I36"/>
    <mergeCell ref="D37:M37"/>
    <mergeCell ref="D38:I38"/>
    <mergeCell ref="D39:I39"/>
    <mergeCell ref="D28:I28"/>
    <mergeCell ref="D29:I29"/>
    <mergeCell ref="D30:I30"/>
    <mergeCell ref="D31:I31"/>
    <mergeCell ref="D32:I32"/>
    <mergeCell ref="D33:I33"/>
    <mergeCell ref="D22:I22"/>
    <mergeCell ref="D23:I23"/>
    <mergeCell ref="D24:I24"/>
    <mergeCell ref="D25:I25"/>
    <mergeCell ref="D26:I26"/>
    <mergeCell ref="D27:I27"/>
    <mergeCell ref="D16:I16"/>
    <mergeCell ref="D17:I17"/>
    <mergeCell ref="D18:I18"/>
    <mergeCell ref="D19:I19"/>
    <mergeCell ref="D20:I20"/>
    <mergeCell ref="D21:I21"/>
    <mergeCell ref="D10:I10"/>
    <mergeCell ref="D11:I11"/>
    <mergeCell ref="D12:I12"/>
    <mergeCell ref="D13:I13"/>
    <mergeCell ref="D14:I14"/>
    <mergeCell ref="D15:I15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2021-11-24T06:00:11Z</dcterms:created>
  <dcterms:modified xsi:type="dcterms:W3CDTF">2021-11-24T06:00:14Z</dcterms:modified>
  <cp:category/>
  <cp:version/>
  <cp:contentType/>
  <cp:contentStatus/>
</cp:coreProperties>
</file>