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<sst xmlns="http://schemas.openxmlformats.org/spreadsheetml/2006/main" count="305" uniqueCount="134">
  <si>
    <t>Doba výstavby:</t>
  </si>
  <si>
    <t>Projektant</t>
  </si>
  <si>
    <t>Základ 15%</t>
  </si>
  <si>
    <t>Základ 21%</t>
  </si>
  <si>
    <t>Dodávka</t>
  </si>
  <si>
    <t>NUS celkem z obj.</t>
  </si>
  <si>
    <t>Náklady (Kč) - celkem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</si>
  <si>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</si>
  <si>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</si>
  <si>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</si>
  <si>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</si>
  <si>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</si>
  <si>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</si>
  <si>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</si>
  <si>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</si>
  <si>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</si>
  <si>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Základní rozpočtové náklady</t>
  </si>
  <si>
    <t>Celkem bez DPH</t>
  </si>
  <si>
    <t>Hmotnost (t)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</si>
  <si>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</si>
  <si>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</si>
  <si>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</si>
  <si>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</si>
  <si>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</si>
  <si>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</si>
  <si>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DPH 15%</t>
  </si>
  <si>
    <t>Dodávky</t>
  </si>
  <si>
    <t>soustava</t>
  </si>
  <si>
    <t>Ostatní mat.</t>
  </si>
  <si>
    <t>Cenová</t>
  </si>
  <si>
    <t>HSV prac</t>
  </si>
  <si>
    <t>90_</t>
  </si>
  <si>
    <t>"M"</t>
  </si>
  <si>
    <t>Krycí list rozpočtu</t>
  </si>
  <si>
    <t>Cena/MJ</t>
  </si>
  <si>
    <t>Konec výstavby:</t>
  </si>
  <si>
    <t>Kód</t>
  </si>
  <si>
    <t>Jednot.</t>
  </si>
  <si>
    <t>soubor</t>
  </si>
  <si>
    <t>MJ</t>
  </si>
  <si>
    <t>9_</t>
  </si>
  <si>
    <t>Doplňkové náklady</t>
  </si>
  <si>
    <t>PSV prac</t>
  </si>
  <si>
    <t>HSV</t>
  </si>
  <si>
    <t>ISWORK</t>
  </si>
  <si>
    <t>Celkem včetně DPH</t>
  </si>
  <si>
    <t>Základ 0%</t>
  </si>
  <si>
    <t>Celková hmotnost (t)</t>
  </si>
  <si>
    <t>Mont prac</t>
  </si>
  <si>
    <t>712_</t>
  </si>
  <si>
    <t>Stavební rozpočet - rekapitulace</t>
  </si>
  <si>
    <t> </t>
  </si>
  <si>
    <t>JKSO:</t>
  </si>
  <si>
    <t>Náklady (Kč) - dodávka</t>
  </si>
  <si>
    <t>DN celkem</t>
  </si>
  <si>
    <t>GROUPCODE</t>
  </si>
  <si>
    <t>Provozní vlivy</t>
  </si>
  <si>
    <t>5</t>
  </si>
  <si>
    <t>76_</t>
  </si>
  <si>
    <t>Stavební rozpočet</t>
  </si>
  <si>
    <t>Druh stavby:</t>
  </si>
  <si>
    <t>Zpracováno dne:</t>
  </si>
  <si>
    <t>Množství</t>
  </si>
  <si>
    <t>Typ skupiny</t>
  </si>
  <si>
    <t>C</t>
  </si>
  <si>
    <t>Náklady (Kč)</t>
  </si>
  <si>
    <t>IČO/DIČ:</t>
  </si>
  <si>
    <t>Ostatní</t>
  </si>
  <si>
    <t>Zpracoval:</t>
  </si>
  <si>
    <t>Zhotovitel</t>
  </si>
  <si>
    <t>Projektant:</t>
  </si>
  <si>
    <t>ORN celkem</t>
  </si>
  <si>
    <t/>
  </si>
  <si>
    <t>H712_</t>
  </si>
  <si>
    <t>Práce přesčas</t>
  </si>
  <si>
    <t>06.12.2022</t>
  </si>
  <si>
    <t>Kulturní památka</t>
  </si>
  <si>
    <t>Objekt</t>
  </si>
  <si>
    <t>DPH 21%</t>
  </si>
  <si>
    <t>_</t>
  </si>
  <si>
    <t>ORN celkem z obj.</t>
  </si>
  <si>
    <t>Přesuny</t>
  </si>
  <si>
    <t>MAT</t>
  </si>
  <si>
    <t>Celkem:</t>
  </si>
  <si>
    <t>Mimostav. doprava</t>
  </si>
  <si>
    <t>DN celkem z obj.</t>
  </si>
  <si>
    <t>764_</t>
  </si>
  <si>
    <t>71_</t>
  </si>
  <si>
    <t>PSV mat</t>
  </si>
  <si>
    <t>Zhotovitel: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</si>
  <si>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</si>
  <si>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</si>
  <si>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</si>
  <si>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</si>
  <si>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</si>
  <si>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</si>
  <si>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</si>
  <si>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T</t>
  </si>
  <si>
    <t>Datum: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</si>
  <si>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</si>
  <si>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</si>
  <si>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</si>
  <si>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</si>
  <si>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</si>
  <si>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</si>
  <si>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</si>
  <si>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</si>
  <si>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HSV mat</t>
  </si>
  <si>
    <t>Zkrácený popis</t>
  </si>
  <si>
    <t>CELK</t>
  </si>
  <si>
    <t>Náklady (Kč) - Montáž</t>
  </si>
  <si>
    <t xml:space="preserve">Objednatel: </t>
  </si>
  <si>
    <t>BD KRNOV - VSTUPNÍ DVEŘE</t>
  </si>
  <si>
    <t>Město Krnov</t>
  </si>
  <si>
    <t>stavební úpravy - výměna dveří</t>
  </si>
  <si>
    <t>OISM - Pavel Hanzel</t>
  </si>
  <si>
    <t xml:space="preserve">BD KRNOV- VSTUPNÍ DVEŘE </t>
  </si>
  <si>
    <t>Krnov, Hlavní nám. 26, Sv. Ducha 2, Sv. Ducha 4</t>
  </si>
  <si>
    <t>ks</t>
  </si>
  <si>
    <t>Výplně otvorů</t>
  </si>
  <si>
    <t>Bourané konstrukce</t>
  </si>
  <si>
    <t>demont. stáv. dř. dveří a stěn s prosklením, odvoz, likvidace.Pozn. Přívody k ele.zámkům zachovat</t>
  </si>
  <si>
    <t>Ostatní práce</t>
  </si>
  <si>
    <t>Elektromontážní práce - zapojení elektrozámku, pozn. Stávající přívody zachovány</t>
  </si>
  <si>
    <t>Úklid a odvoz odpadu vč. likvidace</t>
  </si>
  <si>
    <t>VRN</t>
  </si>
  <si>
    <t>Režijní náklady - doprava, energie, provozní vlivy, apod.</t>
  </si>
  <si>
    <t>Zednické zapravení ostění, nadpraží, podlahy, lištování, vč. malby</t>
  </si>
  <si>
    <t>Montáž - nová Al stěna - Hlavní nám. 26</t>
  </si>
  <si>
    <t>Montáž - nová Al stěna - Sv. Ducha 2</t>
  </si>
  <si>
    <t>Montáž - nová Al stěna - Sv. Ducha 4</t>
  </si>
  <si>
    <t>Dodávka - nová Al stěna - Hlavní nám. 26 - specifikace dle přílohy</t>
  </si>
  <si>
    <t>Dodávka - nová Al stěna - Sv. Ducha 2 - specifikace dle přílohy</t>
  </si>
  <si>
    <t>Dodávka - nová Al stěna - Sv. Ducha 4 - specifikace dle přílohy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</si>
</sst>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20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/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5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4" fontId="45" fillId="0" borderId="11" xfId="0" applyNumberFormat="1" applyFont="1" applyFill="1" applyBorder="1" applyAlignment="1" applyProtection="1">
      <alignment horizontal="right" vertical="center"/>
      <protection/>
    </xf>
    <xf numFmtId="4" fontId="48" fillId="33" borderId="18" xfId="0" applyNumberFormat="1" applyFont="1" applyFill="1" applyBorder="1" applyAlignment="1" applyProtection="1">
      <alignment horizontal="right" vertical="center"/>
      <protection/>
    </xf>
    <xf numFmtId="0" fontId="47" fillId="0" borderId="19" xfId="0" applyNumberFormat="1" applyFont="1" applyFill="1" applyBorder="1" applyAlignment="1" applyProtection="1">
      <alignment horizontal="center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center" vertical="center"/>
      <protection/>
    </xf>
    <xf numFmtId="0" fontId="47" fillId="0" borderId="22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Fill="1" applyBorder="1" applyAlignment="1" applyProtection="1">
      <alignment horizontal="center" vertical="center"/>
      <protection/>
    </xf>
    <xf numFmtId="0" fontId="50" fillId="33" borderId="25" xfId="0" applyNumberFormat="1" applyFont="1" applyFill="1" applyBorder="1" applyAlignment="1" applyProtection="1">
      <alignment horizontal="center" vertical="center"/>
      <protection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4" fontId="46" fillId="0" borderId="17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9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8" xfId="0" applyNumberFormat="1" applyFont="1" applyFill="1" applyBorder="1" applyAlignment="1" applyProtection="1">
      <alignment horizontal="right" vertical="center"/>
      <protection/>
    </xf>
    <xf numFmtId="0" fontId="46" fillId="33" borderId="27" xfId="0" applyNumberFormat="1" applyFont="1" applyFill="1" applyBorder="1" applyAlignment="1" applyProtection="1">
      <alignment horizontal="left" vertical="center"/>
      <protection/>
    </xf>
    <xf numFmtId="0" fontId="47" fillId="0" borderId="30" xfId="0" applyNumberFormat="1" applyFont="1" applyFill="1" applyBorder="1" applyAlignment="1" applyProtection="1">
      <alignment horizontal="left" vertical="center"/>
      <protection/>
    </xf>
    <xf numFmtId="4" fontId="48" fillId="33" borderId="10" xfId="0" applyNumberFormat="1" applyFont="1" applyFill="1" applyBorder="1" applyAlignment="1" applyProtection="1">
      <alignment horizontal="right" vertical="center"/>
      <protection/>
    </xf>
    <xf numFmtId="0" fontId="47" fillId="33" borderId="11" xfId="0" applyNumberFormat="1" applyFont="1" applyFill="1" applyBorder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31" xfId="0" applyNumberFormat="1" applyFont="1" applyFill="1" applyBorder="1" applyAlignment="1" applyProtection="1">
      <alignment horizontal="center" vertical="center"/>
      <protection/>
    </xf>
    <xf numFmtId="4" fontId="46" fillId="0" borderId="10" xfId="0" applyNumberFormat="1" applyFont="1" applyFill="1" applyBorder="1" applyAlignment="1" applyProtection="1">
      <alignment horizontal="right" vertical="center"/>
      <protection/>
    </xf>
    <xf numFmtId="4" fontId="45" fillId="0" borderId="12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33" borderId="11" xfId="0" applyNumberFormat="1" applyFont="1" applyFill="1" applyBorder="1" applyAlignment="1" applyProtection="1">
      <alignment horizontal="right" vertical="center"/>
      <protection/>
    </xf>
    <xf numFmtId="0" fontId="46" fillId="33" borderId="27" xfId="0" applyNumberFormat="1" applyFont="1" applyFill="1" applyBorder="1" applyAlignment="1" applyProtection="1">
      <alignment horizontal="left" vertical="center"/>
      <protection/>
    </xf>
    <xf numFmtId="0" fontId="50" fillId="33" borderId="18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" fontId="46" fillId="34" borderId="17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34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8" fillId="33" borderId="37" xfId="0" applyNumberFormat="1" applyFont="1" applyFill="1" applyBorder="1" applyAlignment="1" applyProtection="1">
      <alignment horizontal="left" vertical="center"/>
      <protection/>
    </xf>
    <xf numFmtId="0" fontId="48" fillId="33" borderId="38" xfId="0" applyNumberFormat="1" applyFont="1" applyFill="1" applyBorder="1" applyAlignment="1" applyProtection="1">
      <alignment horizontal="left" vertical="center"/>
      <protection/>
    </xf>
    <xf numFmtId="0" fontId="48" fillId="33" borderId="28" xfId="0" applyNumberFormat="1" applyFont="1" applyFill="1" applyBorder="1" applyAlignment="1" applyProtection="1">
      <alignment horizontal="left" vertical="center"/>
      <protection/>
    </xf>
    <xf numFmtId="0" fontId="48" fillId="33" borderId="17" xfId="0" applyNumberFormat="1" applyFont="1" applyFill="1" applyBorder="1" applyAlignment="1" applyProtection="1">
      <alignment horizontal="left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51" fillId="0" borderId="38" xfId="0" applyNumberFormat="1" applyFont="1" applyFill="1" applyBorder="1" applyAlignment="1" applyProtection="1">
      <alignment horizontal="left" vertical="center"/>
      <protection/>
    </xf>
    <xf numFmtId="0" fontId="51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27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6" fillId="0" borderId="39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1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40" xfId="0" applyNumberFormat="1" applyFont="1" applyFill="1" applyBorder="1" applyAlignment="1" applyProtection="1">
      <alignment horizontal="left" vertical="center" wrapText="1"/>
      <protection/>
    </xf>
    <xf numFmtId="0" fontId="46" fillId="0" borderId="4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40" xfId="0" applyNumberFormat="1" applyFont="1" applyFill="1" applyBorder="1" applyAlignment="1" applyProtection="1">
      <alignment horizontal="left" vertical="center" wrapText="1"/>
      <protection/>
    </xf>
    <xf numFmtId="0" fontId="47" fillId="0" borderId="4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41" xfId="0" applyNumberFormat="1" applyFont="1" applyFill="1" applyBorder="1" applyAlignment="1" applyProtection="1">
      <alignment horizontal="left" vertical="center" wrapText="1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39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center" vertical="center"/>
      <protection/>
    </xf>
    <xf numFmtId="0" fontId="47" fillId="0" borderId="43" xfId="0" applyNumberFormat="1" applyFont="1" applyFill="1" applyBorder="1" applyAlignment="1" applyProtection="1">
      <alignment horizontal="center" vertical="center"/>
      <protection/>
    </xf>
    <xf numFmtId="0" fontId="47" fillId="0" borderId="44" xfId="0" applyNumberFormat="1" applyFont="1" applyFill="1" applyBorder="1" applyAlignment="1" applyProtection="1">
      <alignment horizontal="center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C29" sqref="C29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03" t="s">
        <v>33</v>
      </c>
      <c r="B1" s="104"/>
      <c r="C1" s="104"/>
      <c r="D1" s="104"/>
      <c r="E1" s="104"/>
      <c r="F1" s="104"/>
      <c r="G1" s="104"/>
      <c r="H1" s="104"/>
      <c r="I1" s="104"/>
    </row>
    <row r="2" spans="1:9" ht="15" customHeight="1">
      <c r="A2" s="105" t="s">
        <v>7</v>
      </c>
      <c r="B2" s="98"/>
      <c r="C2" s="100" t="s">
        <v>112</v>
      </c>
      <c r="D2" s="101"/>
      <c r="E2" s="97" t="s">
        <v>111</v>
      </c>
      <c r="F2" s="97" t="s">
        <v>113</v>
      </c>
      <c r="G2" s="98"/>
      <c r="H2" s="97" t="s">
        <v>66</v>
      </c>
      <c r="I2" s="91">
        <v>296139</v>
      </c>
    </row>
    <row r="3" spans="1:9" ht="15" customHeight="1">
      <c r="A3" s="106"/>
      <c r="B3" s="70"/>
      <c r="C3" s="102"/>
      <c r="D3" s="102"/>
      <c r="E3" s="70"/>
      <c r="F3" s="70"/>
      <c r="G3" s="70"/>
      <c r="H3" s="70"/>
      <c r="I3" s="92"/>
    </row>
    <row r="4" spans="1:9" ht="15" customHeight="1">
      <c r="A4" s="107" t="s">
        <v>60</v>
      </c>
      <c r="B4" s="70"/>
      <c r="C4" s="69" t="s">
        <v>114</v>
      </c>
      <c r="D4" s="70"/>
      <c r="E4" s="69" t="s">
        <v>70</v>
      </c>
      <c r="F4" s="69" t="str">
        <f>'Stavební rozpočet'!K4</f>
        <v> </v>
      </c>
      <c r="G4" s="70"/>
      <c r="H4" s="69" t="s">
        <v>66</v>
      </c>
      <c r="I4" s="92" t="s">
        <v>72</v>
      </c>
    </row>
    <row r="5" spans="1:9" ht="15" customHeight="1">
      <c r="A5" s="106"/>
      <c r="B5" s="70"/>
      <c r="C5" s="70"/>
      <c r="D5" s="70"/>
      <c r="E5" s="70"/>
      <c r="F5" s="70"/>
      <c r="G5" s="70"/>
      <c r="H5" s="70"/>
      <c r="I5" s="92"/>
    </row>
    <row r="6" spans="1:9" ht="15" customHeight="1">
      <c r="A6" s="107" t="s">
        <v>11</v>
      </c>
      <c r="B6" s="70"/>
      <c r="C6" s="69" t="str">
        <f>'Stavební rozpočet'!D6</f>
        <v>Krnov, Hlavní nám. 26, Sv. Ducha 2, Sv. Ducha 4</v>
      </c>
      <c r="D6" s="70"/>
      <c r="E6" s="69" t="s">
        <v>89</v>
      </c>
      <c r="F6" s="69" t="str">
        <f>'Stavební rozpočet'!K6</f>
        <v> </v>
      </c>
      <c r="G6" s="70"/>
      <c r="H6" s="69" t="s">
        <v>66</v>
      </c>
      <c r="I6" s="92" t="s">
        <v>72</v>
      </c>
    </row>
    <row r="7" spans="1:9" ht="15" customHeight="1">
      <c r="A7" s="106"/>
      <c r="B7" s="70"/>
      <c r="C7" s="70"/>
      <c r="D7" s="70"/>
      <c r="E7" s="70"/>
      <c r="F7" s="70"/>
      <c r="G7" s="70"/>
      <c r="H7" s="70"/>
      <c r="I7" s="92"/>
    </row>
    <row r="8" spans="1:9" ht="15" customHeight="1">
      <c r="A8" s="107" t="s">
        <v>90</v>
      </c>
      <c r="B8" s="70"/>
      <c r="C8" s="69"/>
      <c r="D8" s="70"/>
      <c r="E8" s="69" t="s">
        <v>35</v>
      </c>
      <c r="F8" s="69" t="str">
        <f>'Stavební rozpočet'!H6</f>
        <v> </v>
      </c>
      <c r="G8" s="70"/>
      <c r="H8" s="70" t="s">
        <v>104</v>
      </c>
      <c r="I8" s="93">
        <v>8</v>
      </c>
    </row>
    <row r="9" spans="1:9" ht="15" customHeight="1">
      <c r="A9" s="106"/>
      <c r="B9" s="70"/>
      <c r="C9" s="70"/>
      <c r="D9" s="70"/>
      <c r="E9" s="70"/>
      <c r="F9" s="70"/>
      <c r="G9" s="70"/>
      <c r="H9" s="70"/>
      <c r="I9" s="92"/>
    </row>
    <row r="10" spans="1:9" ht="15" customHeight="1">
      <c r="A10" s="107" t="s">
        <v>52</v>
      </c>
      <c r="B10" s="70"/>
      <c r="C10" s="69" t="str">
        <f>'Stavební rozpočet'!D8</f>
        <v> </v>
      </c>
      <c r="D10" s="70"/>
      <c r="E10" s="69" t="s">
        <v>68</v>
      </c>
      <c r="F10" s="69" t="s">
        <v>115</v>
      </c>
      <c r="G10" s="70"/>
      <c r="H10" s="70" t="s">
        <v>98</v>
      </c>
      <c r="I10" s="94" t="str">
        <f>'Stavební rozpočet'!H8</f>
        <v>06.12.2022</v>
      </c>
    </row>
    <row r="11" spans="1:9" ht="15" customHeight="1">
      <c r="A11" s="108"/>
      <c r="B11" s="99"/>
      <c r="C11" s="99"/>
      <c r="D11" s="99"/>
      <c r="E11" s="99"/>
      <c r="F11" s="99"/>
      <c r="G11" s="99"/>
      <c r="H11" s="99"/>
      <c r="I11" s="95"/>
    </row>
    <row r="12" spans="1:9" ht="22.5" customHeight="1">
      <c r="A12" s="96" t="s">
        <v>19</v>
      </c>
      <c r="B12" s="96"/>
      <c r="C12" s="96"/>
      <c r="D12" s="96"/>
      <c r="E12" s="96"/>
      <c r="F12" s="96"/>
      <c r="G12" s="96"/>
      <c r="H12" s="96"/>
      <c r="I12" s="96"/>
    </row>
    <row r="13" spans="1:9" ht="26.25" customHeight="1">
      <c r="A13" s="33" t="s">
        <v>91</v>
      </c>
      <c r="B13" s="86" t="s">
        <v>16</v>
      </c>
      <c r="C13" s="87"/>
      <c r="D13" s="57" t="s">
        <v>20</v>
      </c>
      <c r="E13" s="86" t="s">
        <v>41</v>
      </c>
      <c r="F13" s="87"/>
      <c r="G13" s="57" t="s">
        <v>64</v>
      </c>
      <c r="H13" s="86" t="s">
        <v>21</v>
      </c>
      <c r="I13" s="87"/>
    </row>
    <row r="14" spans="1:9" ht="15" customHeight="1">
      <c r="A14" s="9" t="s">
        <v>43</v>
      </c>
      <c r="B14" s="1" t="s">
        <v>26</v>
      </c>
      <c r="C14" s="53"/>
      <c r="D14" s="78" t="s">
        <v>74</v>
      </c>
      <c r="E14" s="79"/>
      <c r="F14" s="53">
        <v>0</v>
      </c>
      <c r="G14" s="78" t="s">
        <v>15</v>
      </c>
      <c r="H14" s="79"/>
      <c r="I14" s="53">
        <v>0</v>
      </c>
    </row>
    <row r="15" spans="1:9" ht="15" customHeight="1">
      <c r="A15" s="10" t="s">
        <v>72</v>
      </c>
      <c r="B15" s="1" t="s">
        <v>22</v>
      </c>
      <c r="C15" s="53">
        <f>'Stavební rozpočet'!J19</f>
        <v>0</v>
      </c>
      <c r="D15" s="78" t="s">
        <v>13</v>
      </c>
      <c r="E15" s="79"/>
      <c r="F15" s="53">
        <v>0</v>
      </c>
      <c r="G15" s="78" t="s">
        <v>84</v>
      </c>
      <c r="H15" s="79"/>
      <c r="I15" s="53">
        <v>0</v>
      </c>
    </row>
    <row r="16" spans="1:9" ht="15" customHeight="1">
      <c r="A16" s="9" t="s">
        <v>12</v>
      </c>
      <c r="B16" s="1" t="s">
        <v>26</v>
      </c>
      <c r="C16" s="53">
        <f>'Stavební rozpočet'!I12</f>
        <v>0</v>
      </c>
      <c r="D16" s="78" t="s">
        <v>76</v>
      </c>
      <c r="E16" s="79"/>
      <c r="F16" s="53">
        <v>0</v>
      </c>
      <c r="G16" s="78" t="s">
        <v>96</v>
      </c>
      <c r="H16" s="79"/>
      <c r="I16" s="53">
        <v>0</v>
      </c>
    </row>
    <row r="17" spans="1:9" ht="15" customHeight="1">
      <c r="A17" s="10" t="s">
        <v>72</v>
      </c>
      <c r="B17" s="1" t="s">
        <v>22</v>
      </c>
      <c r="C17" s="53">
        <f>'Stavební rozpočet'!J12+'Stavební rozpočet'!J21</f>
        <v>0</v>
      </c>
      <c r="D17" s="78" t="s">
        <v>72</v>
      </c>
      <c r="E17" s="79"/>
      <c r="F17" s="52" t="s">
        <v>72</v>
      </c>
      <c r="G17" s="78" t="s">
        <v>56</v>
      </c>
      <c r="H17" s="79"/>
      <c r="I17" s="53">
        <v>0</v>
      </c>
    </row>
    <row r="18" spans="1:9" ht="15" customHeight="1">
      <c r="A18" s="9" t="s">
        <v>32</v>
      </c>
      <c r="B18" s="1" t="s">
        <v>26</v>
      </c>
      <c r="C18" s="53">
        <f>SUM('Stavební rozpočet'!AF12:AF24)</f>
        <v>0</v>
      </c>
      <c r="D18" s="78" t="s">
        <v>72</v>
      </c>
      <c r="E18" s="79"/>
      <c r="F18" s="52" t="s">
        <v>72</v>
      </c>
      <c r="G18" s="78" t="s">
        <v>67</v>
      </c>
      <c r="H18" s="79"/>
      <c r="I18" s="53">
        <v>0</v>
      </c>
    </row>
    <row r="19" spans="1:9" ht="15" customHeight="1">
      <c r="A19" s="10" t="s">
        <v>72</v>
      </c>
      <c r="B19" s="1" t="s">
        <v>22</v>
      </c>
      <c r="C19" s="53">
        <f>SUM('Stavební rozpočet'!AG12:AG24)</f>
        <v>0</v>
      </c>
      <c r="D19" s="78" t="s">
        <v>72</v>
      </c>
      <c r="E19" s="79"/>
      <c r="F19" s="52" t="s">
        <v>72</v>
      </c>
      <c r="G19" s="78" t="s">
        <v>100</v>
      </c>
      <c r="H19" s="79"/>
      <c r="I19" s="53">
        <v>0</v>
      </c>
    </row>
    <row r="20" spans="1:9" ht="15" customHeight="1">
      <c r="A20" s="85" t="s">
        <v>8</v>
      </c>
      <c r="B20" s="84"/>
      <c r="C20" s="53">
        <f>SUM('Stavební rozpočet'!AH12:AH24)</f>
        <v>0</v>
      </c>
      <c r="D20" s="78" t="s">
        <v>72</v>
      </c>
      <c r="E20" s="79"/>
      <c r="F20" s="52" t="s">
        <v>72</v>
      </c>
      <c r="G20" s="78" t="s">
        <v>72</v>
      </c>
      <c r="H20" s="79"/>
      <c r="I20" s="52" t="s">
        <v>72</v>
      </c>
    </row>
    <row r="21" spans="1:9" ht="15" customHeight="1">
      <c r="A21" s="88" t="s">
        <v>99</v>
      </c>
      <c r="B21" s="89"/>
      <c r="C21" s="18">
        <f>SUM('Stavební rozpočet'!Z12:Z24)</f>
        <v>0</v>
      </c>
      <c r="D21" s="65" t="s">
        <v>72</v>
      </c>
      <c r="E21" s="80"/>
      <c r="F21" s="3" t="s">
        <v>72</v>
      </c>
      <c r="G21" s="65" t="s">
        <v>72</v>
      </c>
      <c r="H21" s="80"/>
      <c r="I21" s="3" t="s">
        <v>72</v>
      </c>
    </row>
    <row r="22" spans="1:9" ht="16.5" customHeight="1">
      <c r="A22" s="90" t="s">
        <v>24</v>
      </c>
      <c r="B22" s="82"/>
      <c r="C22" s="42">
        <f>ROUND(SUM(C14:C21),0)</f>
        <v>0</v>
      </c>
      <c r="D22" s="81" t="s">
        <v>54</v>
      </c>
      <c r="E22" s="82"/>
      <c r="F22" s="42">
        <f>SUM(F14:F21)</f>
        <v>0</v>
      </c>
      <c r="G22" s="81" t="s">
        <v>105</v>
      </c>
      <c r="H22" s="82"/>
      <c r="I22" s="42">
        <f>SUM(I14:I21)</f>
        <v>0</v>
      </c>
    </row>
    <row r="23" spans="4:9" ht="15" customHeight="1">
      <c r="D23" s="85" t="s">
        <v>85</v>
      </c>
      <c r="E23" s="84"/>
      <c r="F23" s="50">
        <v>0</v>
      </c>
      <c r="G23" s="83" t="s">
        <v>5</v>
      </c>
      <c r="H23" s="84"/>
      <c r="I23" s="53">
        <v>0</v>
      </c>
    </row>
    <row r="24" spans="7:9" ht="15" customHeight="1">
      <c r="G24" s="85" t="s">
        <v>71</v>
      </c>
      <c r="H24" s="84"/>
      <c r="I24" s="53">
        <v>0</v>
      </c>
    </row>
    <row r="25" spans="7:9" ht="15" customHeight="1">
      <c r="G25" s="85" t="s">
        <v>80</v>
      </c>
      <c r="H25" s="84"/>
      <c r="I25" s="53">
        <v>0</v>
      </c>
    </row>
    <row r="27" spans="1:3" ht="15" customHeight="1">
      <c r="A27" s="74" t="s">
        <v>46</v>
      </c>
      <c r="B27" s="75"/>
      <c r="C27" s="19">
        <f>ROUND(SUM('Stavební rozpočet'!AJ12:AJ24),0)</f>
        <v>0</v>
      </c>
    </row>
    <row r="28" spans="1:9" ht="15" customHeight="1">
      <c r="A28" s="76" t="s">
        <v>2</v>
      </c>
      <c r="B28" s="77"/>
      <c r="C28" s="45">
        <f>C22</f>
        <v>0</v>
      </c>
      <c r="D28" s="75" t="s">
        <v>25</v>
      </c>
      <c r="E28" s="75"/>
      <c r="F28" s="19">
        <f>ROUND(C28*(15/100),2)</f>
        <v>0</v>
      </c>
      <c r="G28" s="75" t="s">
        <v>17</v>
      </c>
      <c r="H28" s="75"/>
      <c r="I28" s="19">
        <f>ROUND(SUM(C27:C29),0)</f>
        <v>0</v>
      </c>
    </row>
    <row r="29" spans="1:9" ht="15" customHeight="1">
      <c r="A29" s="76" t="s">
        <v>3</v>
      </c>
      <c r="B29" s="77"/>
      <c r="C29" s="45">
        <v>0</v>
      </c>
      <c r="D29" s="77" t="s">
        <v>78</v>
      </c>
      <c r="E29" s="77"/>
      <c r="F29" s="45">
        <f>ROUND(C29*(21/100),2)</f>
        <v>0</v>
      </c>
      <c r="G29" s="77" t="s">
        <v>45</v>
      </c>
      <c r="H29" s="77"/>
      <c r="I29" s="45">
        <f>ROUND(SUM(F28:F29)+I28,0)</f>
        <v>0</v>
      </c>
    </row>
    <row r="31" spans="1:9" ht="15" customHeight="1">
      <c r="A31" s="71" t="s">
        <v>1</v>
      </c>
      <c r="B31" s="63"/>
      <c r="C31" s="64"/>
      <c r="D31" s="63" t="s">
        <v>94</v>
      </c>
      <c r="E31" s="63"/>
      <c r="F31" s="64"/>
      <c r="G31" s="63" t="s">
        <v>69</v>
      </c>
      <c r="H31" s="63"/>
      <c r="I31" s="64"/>
    </row>
    <row r="32" spans="1:9" ht="15" customHeight="1">
      <c r="A32" s="72" t="s">
        <v>72</v>
      </c>
      <c r="B32" s="65"/>
      <c r="C32" s="66"/>
      <c r="D32" s="65" t="s">
        <v>72</v>
      </c>
      <c r="E32" s="65"/>
      <c r="F32" s="66"/>
      <c r="G32" s="65" t="s">
        <v>72</v>
      </c>
      <c r="H32" s="65"/>
      <c r="I32" s="66"/>
    </row>
    <row r="33" spans="1:9" ht="15" customHeight="1">
      <c r="A33" s="72" t="s">
        <v>72</v>
      </c>
      <c r="B33" s="65"/>
      <c r="C33" s="66"/>
      <c r="D33" s="65" t="s">
        <v>72</v>
      </c>
      <c r="E33" s="65"/>
      <c r="F33" s="66"/>
      <c r="G33" s="65" t="s">
        <v>72</v>
      </c>
      <c r="H33" s="65"/>
      <c r="I33" s="66"/>
    </row>
    <row r="34" spans="1:9" ht="15" customHeight="1">
      <c r="A34" s="72" t="s">
        <v>72</v>
      </c>
      <c r="B34" s="65"/>
      <c r="C34" s="66"/>
      <c r="D34" s="65" t="s">
        <v>72</v>
      </c>
      <c r="E34" s="65"/>
      <c r="F34" s="66"/>
      <c r="G34" s="65" t="s">
        <v>72</v>
      </c>
      <c r="H34" s="65"/>
      <c r="I34" s="66"/>
    </row>
    <row r="35" spans="1:9" ht="15" customHeight="1">
      <c r="A35" s="73" t="s">
        <v>23</v>
      </c>
      <c r="B35" s="67"/>
      <c r="C35" s="68"/>
      <c r="D35" s="67" t="s">
        <v>23</v>
      </c>
      <c r="E35" s="67"/>
      <c r="F35" s="68"/>
      <c r="G35" s="67" t="s">
        <v>23</v>
      </c>
      <c r="H35" s="67"/>
      <c r="I35" s="68"/>
    </row>
    <row r="36" ht="15" customHeight="1">
      <c r="A36" s="14" t="s">
        <v>10</v>
      </c>
    </row>
    <row r="37" spans="1:9" ht="12.75" customHeight="1">
      <c r="A37" s="69" t="s">
        <v>72</v>
      </c>
      <c r="B37" s="70"/>
      <c r="C37" s="70"/>
      <c r="D37" s="70"/>
      <c r="E37" s="70"/>
      <c r="F37" s="70"/>
      <c r="G37" s="70"/>
      <c r="H37" s="70"/>
      <c r="I37" s="70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OutlineSymbols="0" zoomScalePageLayoutView="0" workbookViewId="0" topLeftCell="A1">
      <pane ySplit="11" topLeftCell="A12" activePane="bottomLeft" state="frozen"/>
      <selection pane="topLeft" activeCell="G8" sqref="G8:G9"/>
      <selection pane="bottomLeft" activeCell="B15" sqref="B15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6" width="32.5" style="0" customWidth="1"/>
    <col min="7" max="7" width="43.33203125" style="0" customWidth="1"/>
    <col min="8" max="9" width="0" style="0" hidden="1" customWidth="1"/>
  </cols>
  <sheetData>
    <row r="1" spans="1:7" ht="54.75" customHeight="1">
      <c r="A1" s="104" t="s">
        <v>50</v>
      </c>
      <c r="B1" s="104"/>
      <c r="C1" s="104"/>
      <c r="D1" s="104"/>
      <c r="E1" s="104"/>
      <c r="F1" s="104"/>
      <c r="G1" s="104"/>
    </row>
    <row r="2" spans="1:7" ht="15" customHeight="1">
      <c r="A2" s="105" t="s">
        <v>7</v>
      </c>
      <c r="B2" s="98"/>
      <c r="C2" s="100" t="str">
        <f>'Stavební rozpočet'!D2</f>
        <v>BD KRNOV- VSTUPNÍ DVEŘE </v>
      </c>
      <c r="D2" s="98" t="s">
        <v>0</v>
      </c>
      <c r="E2" s="98" t="s">
        <v>93</v>
      </c>
      <c r="F2" s="97" t="s">
        <v>111</v>
      </c>
      <c r="G2" s="109" t="str">
        <f>'Stavební rozpočet'!K2</f>
        <v>Město Krnov</v>
      </c>
    </row>
    <row r="3" spans="1:7" ht="15" customHeight="1">
      <c r="A3" s="106"/>
      <c r="B3" s="70"/>
      <c r="C3" s="102"/>
      <c r="D3" s="70"/>
      <c r="E3" s="70"/>
      <c r="F3" s="70"/>
      <c r="G3" s="92"/>
    </row>
    <row r="4" spans="1:7" ht="15" customHeight="1">
      <c r="A4" s="107" t="s">
        <v>60</v>
      </c>
      <c r="B4" s="70"/>
      <c r="C4" s="69" t="str">
        <f>'Stavební rozpočet'!D4</f>
        <v>stavební úpravy - výměna dveří</v>
      </c>
      <c r="D4" s="70" t="s">
        <v>90</v>
      </c>
      <c r="E4" s="70" t="s">
        <v>75</v>
      </c>
      <c r="F4" s="69" t="s">
        <v>70</v>
      </c>
      <c r="G4" s="94" t="str">
        <f>'Stavební rozpočet'!K4</f>
        <v> </v>
      </c>
    </row>
    <row r="5" spans="1:7" ht="15" customHeight="1">
      <c r="A5" s="106"/>
      <c r="B5" s="70"/>
      <c r="C5" s="70"/>
      <c r="D5" s="70"/>
      <c r="E5" s="70"/>
      <c r="F5" s="70"/>
      <c r="G5" s="92"/>
    </row>
    <row r="6" spans="1:7" ht="15" customHeight="1">
      <c r="A6" s="107" t="s">
        <v>11</v>
      </c>
      <c r="B6" s="70"/>
      <c r="C6" s="69" t="str">
        <f>'Stavební rozpočet'!D6</f>
        <v>Krnov, Hlavní nám. 26, Sv. Ducha 2, Sv. Ducha 4</v>
      </c>
      <c r="D6" s="70" t="s">
        <v>35</v>
      </c>
      <c r="E6" s="70" t="s">
        <v>93</v>
      </c>
      <c r="F6" s="69" t="s">
        <v>89</v>
      </c>
      <c r="G6" s="94" t="str">
        <f>'Stavební rozpočet'!K6</f>
        <v> </v>
      </c>
    </row>
    <row r="7" spans="1:7" ht="15" customHeight="1">
      <c r="A7" s="106"/>
      <c r="B7" s="70"/>
      <c r="C7" s="70"/>
      <c r="D7" s="70"/>
      <c r="E7" s="70"/>
      <c r="F7" s="70"/>
      <c r="G7" s="92"/>
    </row>
    <row r="8" spans="1:7" ht="15" customHeight="1">
      <c r="A8" s="107" t="s">
        <v>68</v>
      </c>
      <c r="B8" s="70"/>
      <c r="C8" s="69" t="str">
        <f>'Stavební rozpočet'!K8</f>
        <v> </v>
      </c>
      <c r="D8" s="70" t="s">
        <v>61</v>
      </c>
      <c r="E8" s="70" t="s">
        <v>75</v>
      </c>
      <c r="F8" s="70" t="s">
        <v>61</v>
      </c>
      <c r="G8" s="94" t="str">
        <f>'Stavební rozpočet'!H8</f>
        <v>06.12.2022</v>
      </c>
    </row>
    <row r="9" spans="1:7" ht="15" customHeight="1">
      <c r="A9" s="106"/>
      <c r="B9" s="70"/>
      <c r="C9" s="70"/>
      <c r="D9" s="70"/>
      <c r="E9" s="70"/>
      <c r="F9" s="70"/>
      <c r="G9" s="92"/>
    </row>
    <row r="10" spans="1:7" ht="15" customHeight="1">
      <c r="A10" s="24" t="s">
        <v>77</v>
      </c>
      <c r="B10" s="30" t="s">
        <v>36</v>
      </c>
      <c r="C10" s="40" t="s">
        <v>108</v>
      </c>
      <c r="D10" s="37" t="s">
        <v>53</v>
      </c>
      <c r="E10" s="37" t="s">
        <v>110</v>
      </c>
      <c r="F10" s="37" t="s">
        <v>6</v>
      </c>
      <c r="G10" s="7" t="s">
        <v>47</v>
      </c>
    </row>
    <row r="11" spans="1:9" ht="15" customHeight="1">
      <c r="A11" s="35" t="s">
        <v>72</v>
      </c>
      <c r="B11" s="11"/>
      <c r="C11" s="11" t="s">
        <v>119</v>
      </c>
      <c r="D11" s="23">
        <f>'Stavební rozpočet'!I12</f>
        <v>0</v>
      </c>
      <c r="E11" s="23">
        <f>'Stavební rozpočet'!J12</f>
        <v>0</v>
      </c>
      <c r="F11" s="23">
        <f>'Stavební rozpočet'!K12</f>
        <v>0</v>
      </c>
      <c r="G11" s="25">
        <f>'Stavební rozpočet'!M12</f>
        <v>0</v>
      </c>
      <c r="H11" s="22" t="s">
        <v>97</v>
      </c>
      <c r="I11" s="23">
        <f>IF(H11="F",0,F11)</f>
        <v>0</v>
      </c>
    </row>
    <row r="12" spans="1:9" ht="15" customHeight="1">
      <c r="A12" s="35" t="s">
        <v>72</v>
      </c>
      <c r="B12" s="11"/>
      <c r="C12" s="11" t="s">
        <v>120</v>
      </c>
      <c r="D12" s="23">
        <f>'Stavební rozpočet'!I19</f>
        <v>0</v>
      </c>
      <c r="E12" s="23">
        <f>'Stavební rozpočet'!J19</f>
        <v>0</v>
      </c>
      <c r="F12" s="23">
        <f>'Stavební rozpočet'!K19</f>
        <v>0</v>
      </c>
      <c r="G12" s="25">
        <f>'Stavební rozpočet'!M19</f>
        <v>0.00491</v>
      </c>
      <c r="H12" s="22" t="s">
        <v>97</v>
      </c>
      <c r="I12" s="23">
        <f>IF(H12="F",0,F12)</f>
        <v>0</v>
      </c>
    </row>
    <row r="13" spans="1:9" ht="15" customHeight="1">
      <c r="A13" s="35" t="s">
        <v>72</v>
      </c>
      <c r="B13" s="11"/>
      <c r="C13" s="11" t="s">
        <v>122</v>
      </c>
      <c r="D13" s="23">
        <f>'Stavební rozpočet'!I21</f>
        <v>0</v>
      </c>
      <c r="E13" s="23">
        <f>'Stavební rozpočet'!J21</f>
        <v>0</v>
      </c>
      <c r="F13" s="23">
        <f>'Stavební rozpočet'!K21</f>
        <v>0</v>
      </c>
      <c r="G13" s="25">
        <f>'Stavební rozpočet'!M21</f>
        <v>0.001</v>
      </c>
      <c r="H13" s="22" t="s">
        <v>97</v>
      </c>
      <c r="I13" s="23">
        <f>IF(H13="F",0,F13)</f>
        <v>0</v>
      </c>
    </row>
    <row r="14" spans="1:9" ht="15" customHeight="1">
      <c r="A14" s="36" t="s">
        <v>72</v>
      </c>
      <c r="B14" s="16"/>
      <c r="C14" s="16" t="s">
        <v>125</v>
      </c>
      <c r="D14" s="38">
        <f>'Stavební rozpočet'!I25</f>
        <v>0</v>
      </c>
      <c r="E14" s="38">
        <f>'Stavební rozpočet'!J25</f>
        <v>0</v>
      </c>
      <c r="F14" s="38">
        <f>'Stavební rozpočet'!K25</f>
        <v>0</v>
      </c>
      <c r="G14" s="49">
        <f>'Stavební rozpočet'!M25</f>
        <v>0</v>
      </c>
      <c r="H14" s="22" t="s">
        <v>97</v>
      </c>
      <c r="I14" s="23">
        <f>IF(H14="F",0,F14)</f>
        <v>0</v>
      </c>
    </row>
    <row r="15" spans="5:6" ht="15" customHeight="1">
      <c r="E15" s="5" t="s">
        <v>83</v>
      </c>
      <c r="F15" s="54">
        <f>ROUND(SUM(I11:I14),0)</f>
        <v>0</v>
      </c>
    </row>
  </sheetData>
  <sheetProtection/>
  <mergeCells count="25"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C2:C3"/>
    <mergeCell ref="C4:C5"/>
    <mergeCell ref="C6:C7"/>
    <mergeCell ref="C8:C9"/>
    <mergeCell ref="E2:E3"/>
    <mergeCell ref="E4:E5"/>
    <mergeCell ref="E6:E7"/>
    <mergeCell ref="E8:E9"/>
    <mergeCell ref="G2:G3"/>
    <mergeCell ref="G4:G5"/>
    <mergeCell ref="G6:G7"/>
    <mergeCell ref="G8:G9"/>
    <mergeCell ref="F4:F5"/>
    <mergeCell ref="F6:F7"/>
    <mergeCell ref="F8:F9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tabSelected="1" showOutlineSymbols="0" zoomScalePageLayoutView="0" workbookViewId="0" topLeftCell="A1">
      <pane ySplit="11" topLeftCell="A12" activePane="bottomLeft" state="frozen"/>
      <selection pane="topLeft" activeCell="A26" sqref="A26:N26"/>
      <selection pane="bottomLeft" activeCell="H27" sqref="H27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94.16015625" style="0" customWidth="1"/>
    <col min="6" max="6" width="7.5" style="0" customWidth="1"/>
    <col min="7" max="7" width="15" style="0" customWidth="1"/>
    <col min="8" max="8" width="14" style="0" customWidth="1"/>
    <col min="9" max="11" width="18.33203125" style="0" customWidth="1"/>
    <col min="12" max="14" width="13.66015625" style="0" customWidth="1"/>
    <col min="15" max="24" width="14.16015625" style="0" customWidth="1"/>
    <col min="25" max="64" width="14.16015625" style="0" hidden="1" customWidth="1"/>
  </cols>
  <sheetData>
    <row r="1" spans="1:14" ht="54.75" customHeight="1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 customHeight="1">
      <c r="A2" s="105" t="s">
        <v>7</v>
      </c>
      <c r="B2" s="98"/>
      <c r="C2" s="98"/>
      <c r="D2" s="100" t="s">
        <v>116</v>
      </c>
      <c r="E2" s="101"/>
      <c r="F2" s="98" t="s">
        <v>0</v>
      </c>
      <c r="G2" s="98"/>
      <c r="H2" s="98" t="s">
        <v>93</v>
      </c>
      <c r="I2" s="97" t="s">
        <v>111</v>
      </c>
      <c r="J2" s="98"/>
      <c r="K2" s="98" t="s">
        <v>113</v>
      </c>
      <c r="L2" s="98"/>
      <c r="M2" s="98"/>
      <c r="N2" s="91"/>
    </row>
    <row r="3" spans="1:14" ht="15" customHeight="1">
      <c r="A3" s="106"/>
      <c r="B3" s="70"/>
      <c r="C3" s="70"/>
      <c r="D3" s="102"/>
      <c r="E3" s="102"/>
      <c r="F3" s="70"/>
      <c r="G3" s="70"/>
      <c r="H3" s="70"/>
      <c r="I3" s="70"/>
      <c r="J3" s="70"/>
      <c r="K3" s="70"/>
      <c r="L3" s="70"/>
      <c r="M3" s="70"/>
      <c r="N3" s="92"/>
    </row>
    <row r="4" spans="1:14" ht="15" customHeight="1">
      <c r="A4" s="107" t="s">
        <v>60</v>
      </c>
      <c r="B4" s="70"/>
      <c r="C4" s="70"/>
      <c r="D4" s="69" t="s">
        <v>114</v>
      </c>
      <c r="E4" s="70"/>
      <c r="F4" s="70" t="s">
        <v>90</v>
      </c>
      <c r="G4" s="70"/>
      <c r="H4" s="70"/>
      <c r="I4" s="69" t="s">
        <v>70</v>
      </c>
      <c r="J4" s="70"/>
      <c r="K4" s="70" t="s">
        <v>51</v>
      </c>
      <c r="L4" s="70"/>
      <c r="M4" s="70"/>
      <c r="N4" s="92"/>
    </row>
    <row r="5" spans="1:14" ht="15" customHeight="1">
      <c r="A5" s="106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92"/>
    </row>
    <row r="6" spans="1:14" ht="15" customHeight="1">
      <c r="A6" s="107" t="s">
        <v>11</v>
      </c>
      <c r="B6" s="70"/>
      <c r="C6" s="70"/>
      <c r="D6" s="69" t="s">
        <v>117</v>
      </c>
      <c r="E6" s="70"/>
      <c r="F6" s="70" t="s">
        <v>35</v>
      </c>
      <c r="G6" s="70"/>
      <c r="H6" s="70" t="s">
        <v>93</v>
      </c>
      <c r="I6" s="69" t="s">
        <v>89</v>
      </c>
      <c r="J6" s="70"/>
      <c r="K6" s="70" t="s">
        <v>51</v>
      </c>
      <c r="L6" s="70"/>
      <c r="M6" s="70"/>
      <c r="N6" s="92"/>
    </row>
    <row r="7" spans="1:14" ht="15" customHeight="1">
      <c r="A7" s="106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92"/>
    </row>
    <row r="8" spans="1:14" ht="15" customHeight="1">
      <c r="A8" s="107" t="s">
        <v>52</v>
      </c>
      <c r="B8" s="70"/>
      <c r="C8" s="70"/>
      <c r="D8" s="69" t="s">
        <v>93</v>
      </c>
      <c r="E8" s="70"/>
      <c r="F8" s="70" t="s">
        <v>61</v>
      </c>
      <c r="G8" s="70"/>
      <c r="H8" s="70" t="s">
        <v>75</v>
      </c>
      <c r="I8" s="69" t="s">
        <v>68</v>
      </c>
      <c r="J8" s="70"/>
      <c r="K8" s="70" t="s">
        <v>51</v>
      </c>
      <c r="L8" s="70"/>
      <c r="M8" s="70"/>
      <c r="N8" s="92"/>
    </row>
    <row r="9" spans="1:14" ht="15" customHeight="1">
      <c r="A9" s="106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92"/>
    </row>
    <row r="10" spans="1:64" ht="15" customHeight="1">
      <c r="A10" s="44" t="s">
        <v>9</v>
      </c>
      <c r="B10" s="17" t="s">
        <v>77</v>
      </c>
      <c r="C10" s="17" t="s">
        <v>36</v>
      </c>
      <c r="D10" s="116" t="s">
        <v>108</v>
      </c>
      <c r="E10" s="117"/>
      <c r="F10" s="17" t="s">
        <v>39</v>
      </c>
      <c r="G10" s="8" t="s">
        <v>62</v>
      </c>
      <c r="H10" s="28" t="s">
        <v>34</v>
      </c>
      <c r="I10" s="113" t="s">
        <v>65</v>
      </c>
      <c r="J10" s="114"/>
      <c r="K10" s="115"/>
      <c r="L10" s="114" t="s">
        <v>18</v>
      </c>
      <c r="M10" s="114"/>
      <c r="N10" s="20" t="s">
        <v>29</v>
      </c>
      <c r="BK10" s="15" t="s">
        <v>44</v>
      </c>
      <c r="BL10" s="4" t="s">
        <v>55</v>
      </c>
    </row>
    <row r="11" spans="1:62" ht="15" customHeight="1">
      <c r="A11" s="47" t="s">
        <v>93</v>
      </c>
      <c r="B11" s="29" t="s">
        <v>93</v>
      </c>
      <c r="C11" s="29" t="s">
        <v>93</v>
      </c>
      <c r="D11" s="111" t="s">
        <v>103</v>
      </c>
      <c r="E11" s="112"/>
      <c r="F11" s="29" t="s">
        <v>93</v>
      </c>
      <c r="G11" s="29" t="s">
        <v>93</v>
      </c>
      <c r="H11" s="32" t="s">
        <v>95</v>
      </c>
      <c r="I11" s="27" t="s">
        <v>4</v>
      </c>
      <c r="J11" s="6" t="s">
        <v>22</v>
      </c>
      <c r="K11" s="34" t="s">
        <v>14</v>
      </c>
      <c r="L11" s="6" t="s">
        <v>37</v>
      </c>
      <c r="M11" s="32" t="s">
        <v>14</v>
      </c>
      <c r="N11" s="48" t="s">
        <v>27</v>
      </c>
      <c r="Z11" s="15" t="s">
        <v>81</v>
      </c>
      <c r="AA11" s="15" t="s">
        <v>63</v>
      </c>
      <c r="AB11" s="15" t="s">
        <v>107</v>
      </c>
      <c r="AC11" s="15" t="s">
        <v>30</v>
      </c>
      <c r="AD11" s="15" t="s">
        <v>88</v>
      </c>
      <c r="AE11" s="15" t="s">
        <v>42</v>
      </c>
      <c r="AF11" s="15" t="s">
        <v>92</v>
      </c>
      <c r="AG11" s="15" t="s">
        <v>48</v>
      </c>
      <c r="AH11" s="15" t="s">
        <v>28</v>
      </c>
      <c r="BH11" s="15" t="s">
        <v>82</v>
      </c>
      <c r="BI11" s="15" t="s">
        <v>106</v>
      </c>
      <c r="BJ11" s="15" t="s">
        <v>109</v>
      </c>
    </row>
    <row r="12" spans="1:47" ht="15" customHeight="1">
      <c r="A12" s="56" t="s">
        <v>72</v>
      </c>
      <c r="B12" s="51" t="s">
        <v>72</v>
      </c>
      <c r="C12" s="51"/>
      <c r="D12" s="110" t="s">
        <v>119</v>
      </c>
      <c r="E12" s="110"/>
      <c r="F12" s="26" t="s">
        <v>93</v>
      </c>
      <c r="G12" s="26" t="s">
        <v>93</v>
      </c>
      <c r="H12" s="26" t="s">
        <v>93</v>
      </c>
      <c r="I12" s="41">
        <f>SUM(I13:I18)</f>
        <v>0</v>
      </c>
      <c r="J12" s="41">
        <f>SUM(J13:J18)</f>
        <v>0</v>
      </c>
      <c r="K12" s="41">
        <f>SUM(K13:K18)</f>
        <v>0</v>
      </c>
      <c r="L12" s="12" t="s">
        <v>72</v>
      </c>
      <c r="M12" s="41"/>
      <c r="N12" s="55" t="s">
        <v>72</v>
      </c>
      <c r="AI12" s="15" t="s">
        <v>72</v>
      </c>
      <c r="AS12" s="21">
        <f>SUM(AJ13:AJ16)</f>
        <v>0</v>
      </c>
      <c r="AT12" s="21">
        <f>SUM(AK13:AK16)</f>
        <v>0</v>
      </c>
      <c r="AU12" s="21">
        <f>SUM(AL13:AL16)</f>
        <v>0</v>
      </c>
    </row>
    <row r="13" spans="1:64" ht="15" customHeight="1">
      <c r="A13" s="35" t="s">
        <v>101</v>
      </c>
      <c r="B13" s="11" t="s">
        <v>72</v>
      </c>
      <c r="C13" s="11"/>
      <c r="D13" s="70" t="s">
        <v>131</v>
      </c>
      <c r="E13" s="70"/>
      <c r="F13" s="11" t="s">
        <v>118</v>
      </c>
      <c r="G13" s="23">
        <v>1</v>
      </c>
      <c r="H13" s="61">
        <v>0</v>
      </c>
      <c r="I13" s="23">
        <f>G13*H13</f>
        <v>0</v>
      </c>
      <c r="J13" s="23">
        <v>0</v>
      </c>
      <c r="K13" s="23">
        <f aca="true" t="shared" si="0" ref="K13:K18">G13*H13</f>
        <v>0</v>
      </c>
      <c r="L13" s="23">
        <v>0.00033</v>
      </c>
      <c r="M13" s="23">
        <f aca="true" t="shared" si="1" ref="M13:M18">G13*L13</f>
        <v>0.00033</v>
      </c>
      <c r="N13" s="2"/>
      <c r="Z13" s="23">
        <f>IF(AQ13="5",BJ13,0)</f>
        <v>0</v>
      </c>
      <c r="AB13" s="23">
        <f>IF(AQ13="1",BH13,0)</f>
        <v>0</v>
      </c>
      <c r="AC13" s="23">
        <f>IF(AQ13="1",BI13,0)</f>
        <v>0</v>
      </c>
      <c r="AD13" s="23">
        <f>IF(AQ13="7",BH13,0)</f>
        <v>0</v>
      </c>
      <c r="AE13" s="23">
        <f>IF(AQ13="7",BI13,0)</f>
        <v>0</v>
      </c>
      <c r="AF13" s="23">
        <f>IF(AQ13="2",BH13,0)</f>
        <v>0</v>
      </c>
      <c r="AG13" s="23">
        <f>IF(AQ13="2",BI13,0)</f>
        <v>0</v>
      </c>
      <c r="AH13" s="23">
        <f>IF(AQ13="0",BJ13,0)</f>
        <v>0</v>
      </c>
      <c r="AI13" s="15" t="s">
        <v>72</v>
      </c>
      <c r="AJ13" s="23">
        <f>IF(AN13=0,K13,0)</f>
        <v>0</v>
      </c>
      <c r="AK13" s="23">
        <f>IF(AN13=15,K13,0)</f>
        <v>0</v>
      </c>
      <c r="AL13" s="23">
        <f>IF(AN13=21,K13,0)</f>
        <v>0</v>
      </c>
      <c r="AN13" s="23">
        <v>21</v>
      </c>
      <c r="AO13" s="23">
        <f>H13*0.736936936936937</f>
        <v>0</v>
      </c>
      <c r="AP13" s="23">
        <f>H13*(1-0.736936936936937)</f>
        <v>0</v>
      </c>
      <c r="AQ13" s="22" t="s">
        <v>102</v>
      </c>
      <c r="AV13" s="23">
        <f>AW13+AX13</f>
        <v>0</v>
      </c>
      <c r="AW13" s="23">
        <f>G13*AO13</f>
        <v>0</v>
      </c>
      <c r="AX13" s="23">
        <f>G13*AP13</f>
        <v>0</v>
      </c>
      <c r="AY13" s="22" t="s">
        <v>49</v>
      </c>
      <c r="AZ13" s="22" t="s">
        <v>87</v>
      </c>
      <c r="BA13" s="15" t="s">
        <v>79</v>
      </c>
      <c r="BC13" s="23">
        <f>AW13+AX13</f>
        <v>0</v>
      </c>
      <c r="BD13" s="23">
        <f>H13/(100-BE13)*100</f>
        <v>0</v>
      </c>
      <c r="BE13" s="23">
        <v>0</v>
      </c>
      <c r="BF13" s="23">
        <f>M13</f>
        <v>0.00033</v>
      </c>
      <c r="BH13" s="23">
        <f>G13*AO13</f>
        <v>0</v>
      </c>
      <c r="BI13" s="23">
        <f>G13*AP13</f>
        <v>0</v>
      </c>
      <c r="BJ13" s="23">
        <f>G13*H13</f>
        <v>0</v>
      </c>
      <c r="BK13" s="23"/>
      <c r="BL13" s="23">
        <v>712</v>
      </c>
    </row>
    <row r="14" spans="1:64" ht="15" customHeight="1">
      <c r="A14" s="60">
        <v>2</v>
      </c>
      <c r="B14" s="59"/>
      <c r="C14" s="59"/>
      <c r="D14" s="70" t="s">
        <v>128</v>
      </c>
      <c r="E14" s="70"/>
      <c r="F14" s="59" t="s">
        <v>118</v>
      </c>
      <c r="G14" s="23">
        <v>1</v>
      </c>
      <c r="H14" s="61">
        <v>0</v>
      </c>
      <c r="I14" s="23">
        <v>0</v>
      </c>
      <c r="J14" s="23">
        <f>G14*H14</f>
        <v>0</v>
      </c>
      <c r="K14" s="23">
        <f t="shared" si="0"/>
        <v>0</v>
      </c>
      <c r="L14" s="23">
        <v>0.00033</v>
      </c>
      <c r="M14" s="23">
        <f t="shared" si="1"/>
        <v>0.00033</v>
      </c>
      <c r="N14" s="2"/>
      <c r="Z14" s="23"/>
      <c r="AB14" s="23"/>
      <c r="AC14" s="23"/>
      <c r="AD14" s="23"/>
      <c r="AE14" s="23"/>
      <c r="AF14" s="23"/>
      <c r="AG14" s="23"/>
      <c r="AH14" s="23"/>
      <c r="AI14" s="15"/>
      <c r="AJ14" s="23"/>
      <c r="AK14" s="23"/>
      <c r="AL14" s="23"/>
      <c r="AN14" s="23"/>
      <c r="AO14" s="23"/>
      <c r="AP14" s="23"/>
      <c r="AQ14" s="22"/>
      <c r="AV14" s="23"/>
      <c r="AW14" s="23"/>
      <c r="AX14" s="23"/>
      <c r="AY14" s="22"/>
      <c r="AZ14" s="22"/>
      <c r="BA14" s="15"/>
      <c r="BC14" s="23"/>
      <c r="BD14" s="23"/>
      <c r="BE14" s="23"/>
      <c r="BF14" s="23"/>
      <c r="BH14" s="23"/>
      <c r="BI14" s="23"/>
      <c r="BJ14" s="23"/>
      <c r="BK14" s="23"/>
      <c r="BL14" s="23"/>
    </row>
    <row r="15" spans="1:64" ht="15" customHeight="1">
      <c r="A15" s="35">
        <v>3</v>
      </c>
      <c r="B15" s="11" t="s">
        <v>72</v>
      </c>
      <c r="C15" s="11"/>
      <c r="D15" s="70" t="s">
        <v>132</v>
      </c>
      <c r="E15" s="70"/>
      <c r="F15" s="11" t="s">
        <v>118</v>
      </c>
      <c r="G15" s="23">
        <v>1</v>
      </c>
      <c r="H15" s="61">
        <v>0</v>
      </c>
      <c r="I15" s="23">
        <f>G15*H15</f>
        <v>0</v>
      </c>
      <c r="J15" s="23">
        <v>0</v>
      </c>
      <c r="K15" s="23">
        <f t="shared" si="0"/>
        <v>0</v>
      </c>
      <c r="L15" s="23">
        <v>0</v>
      </c>
      <c r="M15" s="23">
        <f t="shared" si="1"/>
        <v>0</v>
      </c>
      <c r="N15" s="2"/>
      <c r="Z15" s="23">
        <f>IF(AQ15="5",BJ15,0)</f>
        <v>0</v>
      </c>
      <c r="AB15" s="23">
        <f>IF(AQ15="1",BH15,0)</f>
        <v>0</v>
      </c>
      <c r="AC15" s="23">
        <f>IF(AQ15="1",BI15,0)</f>
        <v>0</v>
      </c>
      <c r="AD15" s="23">
        <f>IF(AQ15="7",BH15,0)</f>
        <v>0</v>
      </c>
      <c r="AE15" s="23">
        <f>IF(AQ15="7",BI15,0)</f>
        <v>0</v>
      </c>
      <c r="AF15" s="23">
        <f>IF(AQ15="2",BH15,0)</f>
        <v>0</v>
      </c>
      <c r="AG15" s="23">
        <f>IF(AQ15="2",BI15,0)</f>
        <v>0</v>
      </c>
      <c r="AH15" s="23">
        <f>IF(AQ15="0",BJ15,0)</f>
        <v>0</v>
      </c>
      <c r="AI15" s="15" t="s">
        <v>72</v>
      </c>
      <c r="AJ15" s="23">
        <f>IF(AN15=0,K15,0)</f>
        <v>0</v>
      </c>
      <c r="AK15" s="23">
        <f>IF(AN15=15,K15,0)</f>
        <v>0</v>
      </c>
      <c r="AL15" s="23">
        <f>IF(AN15=21,K15,0)</f>
        <v>0</v>
      </c>
      <c r="AN15" s="23">
        <v>21</v>
      </c>
      <c r="AO15" s="23">
        <f>H15*0.508058252427184</f>
        <v>0</v>
      </c>
      <c r="AP15" s="23">
        <f>H15*(1-0.508058252427184)</f>
        <v>0</v>
      </c>
      <c r="AQ15" s="22" t="s">
        <v>102</v>
      </c>
      <c r="AV15" s="23">
        <f>AW15+AX15</f>
        <v>0</v>
      </c>
      <c r="AW15" s="23">
        <f>G15*AO15</f>
        <v>0</v>
      </c>
      <c r="AX15" s="23">
        <f>G15*AP15</f>
        <v>0</v>
      </c>
      <c r="AY15" s="22" t="s">
        <v>49</v>
      </c>
      <c r="AZ15" s="22" t="s">
        <v>87</v>
      </c>
      <c r="BA15" s="15" t="s">
        <v>79</v>
      </c>
      <c r="BC15" s="23">
        <f>AW15+AX15</f>
        <v>0</v>
      </c>
      <c r="BD15" s="23">
        <f>H15/(100-BE15)*100</f>
        <v>0</v>
      </c>
      <c r="BE15" s="23">
        <v>0</v>
      </c>
      <c r="BF15" s="23">
        <f>M15</f>
        <v>0</v>
      </c>
      <c r="BH15" s="23">
        <f>G15*AO15</f>
        <v>0</v>
      </c>
      <c r="BI15" s="23">
        <f>G15*AP15</f>
        <v>0</v>
      </c>
      <c r="BJ15" s="23">
        <f>G15*H15</f>
        <v>0</v>
      </c>
      <c r="BK15" s="23"/>
      <c r="BL15" s="23">
        <v>712</v>
      </c>
    </row>
    <row r="16" spans="1:64" ht="15" customHeight="1">
      <c r="A16" s="60">
        <v>4</v>
      </c>
      <c r="B16" s="59"/>
      <c r="C16" s="59"/>
      <c r="D16" s="70" t="s">
        <v>129</v>
      </c>
      <c r="E16" s="70"/>
      <c r="F16" s="59" t="s">
        <v>118</v>
      </c>
      <c r="G16" s="23">
        <v>1</v>
      </c>
      <c r="H16" s="61">
        <v>0</v>
      </c>
      <c r="I16" s="23">
        <v>0</v>
      </c>
      <c r="J16" s="23">
        <f>G16*H16</f>
        <v>0</v>
      </c>
      <c r="K16" s="23">
        <f t="shared" si="0"/>
        <v>0</v>
      </c>
      <c r="L16" s="23">
        <v>0.00033</v>
      </c>
      <c r="M16" s="23">
        <f t="shared" si="1"/>
        <v>0.00033</v>
      </c>
      <c r="N16" s="2"/>
      <c r="Z16" s="23">
        <f>IF(AQ16="5",BJ16,0)</f>
        <v>0</v>
      </c>
      <c r="AB16" s="23">
        <f>IF(AQ16="1",BH16,0)</f>
        <v>0</v>
      </c>
      <c r="AC16" s="23">
        <f>IF(AQ16="1",BI16,0)</f>
        <v>0</v>
      </c>
      <c r="AD16" s="23">
        <f>IF(AQ16="7",BH16,0)</f>
        <v>0</v>
      </c>
      <c r="AE16" s="23">
        <f>IF(AQ16="7",BI16,0)</f>
        <v>0</v>
      </c>
      <c r="AF16" s="23">
        <f>IF(AQ16="2",BH16,0)</f>
        <v>0</v>
      </c>
      <c r="AG16" s="23">
        <f>IF(AQ16="2",BI16,0)</f>
        <v>0</v>
      </c>
      <c r="AH16" s="23">
        <f>IF(AQ16="0",BJ16,0)</f>
        <v>0</v>
      </c>
      <c r="AI16" s="15" t="s">
        <v>72</v>
      </c>
      <c r="AJ16" s="23">
        <f>IF(AN16=0,K18,0)</f>
        <v>0</v>
      </c>
      <c r="AK16" s="23">
        <f>IF(AN16=15,K18,0)</f>
        <v>0</v>
      </c>
      <c r="AL16" s="23">
        <f>IF(AN16=21,K18,0)</f>
        <v>0</v>
      </c>
      <c r="AN16" s="23">
        <v>21</v>
      </c>
      <c r="AO16" s="23">
        <f>H18*0.62912</f>
        <v>0</v>
      </c>
      <c r="AP16" s="23">
        <f>H18*(1-0.62912)</f>
        <v>0</v>
      </c>
      <c r="AQ16" s="22" t="s">
        <v>102</v>
      </c>
      <c r="AV16" s="23">
        <f>AW16+AX16</f>
        <v>0</v>
      </c>
      <c r="AW16" s="23">
        <f>G18*AO16</f>
        <v>0</v>
      </c>
      <c r="AX16" s="23">
        <f>G18*AP16</f>
        <v>0</v>
      </c>
      <c r="AY16" s="22" t="s">
        <v>49</v>
      </c>
      <c r="AZ16" s="22" t="s">
        <v>87</v>
      </c>
      <c r="BA16" s="15" t="s">
        <v>79</v>
      </c>
      <c r="BC16" s="23">
        <f>AW16+AX16</f>
        <v>0</v>
      </c>
      <c r="BD16" s="23">
        <f>H18/(100-BE16)*100</f>
        <v>0</v>
      </c>
      <c r="BE16" s="23">
        <v>0</v>
      </c>
      <c r="BF16" s="23">
        <f>M18</f>
        <v>0.00033</v>
      </c>
      <c r="BH16" s="23">
        <f>G18*AO16</f>
        <v>0</v>
      </c>
      <c r="BI16" s="23">
        <f>G18*AP16</f>
        <v>0</v>
      </c>
      <c r="BJ16" s="23">
        <f>G18*H18</f>
        <v>0</v>
      </c>
      <c r="BK16" s="23"/>
      <c r="BL16" s="23">
        <v>712</v>
      </c>
    </row>
    <row r="17" spans="1:47" ht="15" customHeight="1">
      <c r="A17" s="60">
        <v>5</v>
      </c>
      <c r="B17" s="59" t="s">
        <v>72</v>
      </c>
      <c r="C17" s="59"/>
      <c r="D17" s="70" t="s">
        <v>133</v>
      </c>
      <c r="E17" s="70"/>
      <c r="F17" s="59" t="s">
        <v>118</v>
      </c>
      <c r="G17" s="23">
        <v>1</v>
      </c>
      <c r="H17" s="61">
        <v>0</v>
      </c>
      <c r="I17" s="23">
        <f>G17*H17</f>
        <v>0</v>
      </c>
      <c r="J17" s="23">
        <v>0</v>
      </c>
      <c r="K17" s="23">
        <f t="shared" si="0"/>
        <v>0</v>
      </c>
      <c r="L17" s="23">
        <v>0.00187</v>
      </c>
      <c r="M17" s="23">
        <f t="shared" si="1"/>
        <v>0.00187</v>
      </c>
      <c r="N17" s="2"/>
      <c r="AI17" s="15" t="s">
        <v>72</v>
      </c>
      <c r="AS17" s="21">
        <f>SUM(AJ18:AJ18)</f>
        <v>0</v>
      </c>
      <c r="AT17" s="21">
        <f>SUM(AK18:AK18)</f>
        <v>0</v>
      </c>
      <c r="AU17" s="21">
        <f>SUM(AL18:AL18)</f>
        <v>0</v>
      </c>
    </row>
    <row r="18" spans="1:64" ht="15" customHeight="1">
      <c r="A18" s="35">
        <v>6</v>
      </c>
      <c r="B18" s="11" t="s">
        <v>72</v>
      </c>
      <c r="C18" s="11"/>
      <c r="D18" s="70" t="s">
        <v>130</v>
      </c>
      <c r="E18" s="70"/>
      <c r="F18" s="59" t="s">
        <v>118</v>
      </c>
      <c r="G18" s="23">
        <v>1</v>
      </c>
      <c r="H18" s="61">
        <v>0</v>
      </c>
      <c r="I18" s="23">
        <v>0</v>
      </c>
      <c r="J18" s="23">
        <f>G18*H18</f>
        <v>0</v>
      </c>
      <c r="K18" s="23">
        <f t="shared" si="0"/>
        <v>0</v>
      </c>
      <c r="L18" s="23">
        <v>0.00033</v>
      </c>
      <c r="M18" s="23">
        <f t="shared" si="1"/>
        <v>0.00033</v>
      </c>
      <c r="N18" s="2"/>
      <c r="Z18" s="23">
        <f>IF(AQ18="5",BJ18,0)</f>
        <v>0</v>
      </c>
      <c r="AB18" s="23">
        <f>IF(AQ18="1",BH18,0)</f>
        <v>0</v>
      </c>
      <c r="AC18" s="23">
        <f>IF(AQ18="1",BI18,0)</f>
        <v>0</v>
      </c>
      <c r="AD18" s="23">
        <f>IF(AQ18="7",BH18,0)</f>
        <v>0</v>
      </c>
      <c r="AE18" s="23">
        <f>IF(AQ18="7",BI18,0)</f>
        <v>0</v>
      </c>
      <c r="AF18" s="23">
        <f>IF(AQ18="2",BH18,0)</f>
        <v>0</v>
      </c>
      <c r="AG18" s="23">
        <f>IF(AQ18="2",BI18,0)</f>
        <v>0</v>
      </c>
      <c r="AH18" s="23">
        <f>IF(AQ18="0",BJ18,0)</f>
        <v>0</v>
      </c>
      <c r="AI18" s="15" t="s">
        <v>72</v>
      </c>
      <c r="AJ18" s="23">
        <f>IF(AN18=0,K20,0)</f>
        <v>0</v>
      </c>
      <c r="AK18" s="23">
        <f>IF(AN18=15,K20,0)</f>
        <v>0</v>
      </c>
      <c r="AL18" s="23">
        <f>IF(AN18=21,K20,0)</f>
        <v>0</v>
      </c>
      <c r="AN18" s="23">
        <v>21</v>
      </c>
      <c r="AO18" s="23">
        <f>H20*0.413215862068966</f>
        <v>0</v>
      </c>
      <c r="AP18" s="23">
        <f>H20*(1-0.413215862068966)</f>
        <v>0</v>
      </c>
      <c r="AQ18" s="22" t="s">
        <v>102</v>
      </c>
      <c r="AV18" s="23">
        <f>AW18+AX18</f>
        <v>0</v>
      </c>
      <c r="AW18" s="23">
        <f>G20*AO18</f>
        <v>0</v>
      </c>
      <c r="AX18" s="23">
        <f>G20*AP18</f>
        <v>0</v>
      </c>
      <c r="AY18" s="22" t="s">
        <v>86</v>
      </c>
      <c r="AZ18" s="22" t="s">
        <v>58</v>
      </c>
      <c r="BA18" s="15" t="s">
        <v>79</v>
      </c>
      <c r="BC18" s="23">
        <f>AW18+AX18</f>
        <v>0</v>
      </c>
      <c r="BD18" s="23">
        <f>H20/(100-BE18)*100</f>
        <v>0</v>
      </c>
      <c r="BE18" s="23">
        <v>0</v>
      </c>
      <c r="BF18" s="23">
        <f>M20</f>
        <v>0.00491</v>
      </c>
      <c r="BH18" s="23">
        <f>G20*AO18</f>
        <v>0</v>
      </c>
      <c r="BI18" s="23">
        <f>G20*AP18</f>
        <v>0</v>
      </c>
      <c r="BJ18" s="23">
        <f>G20*H20</f>
        <v>0</v>
      </c>
      <c r="BK18" s="23"/>
      <c r="BL18" s="23">
        <v>764</v>
      </c>
    </row>
    <row r="19" spans="1:47" ht="15" customHeight="1">
      <c r="A19" s="43" t="s">
        <v>72</v>
      </c>
      <c r="B19" s="13" t="s">
        <v>72</v>
      </c>
      <c r="C19" s="13"/>
      <c r="D19" s="110" t="s">
        <v>120</v>
      </c>
      <c r="E19" s="110"/>
      <c r="F19" s="39" t="s">
        <v>93</v>
      </c>
      <c r="G19" s="39" t="s">
        <v>93</v>
      </c>
      <c r="H19" s="39" t="s">
        <v>93</v>
      </c>
      <c r="I19" s="21">
        <f>SUM(I20:I20)</f>
        <v>0</v>
      </c>
      <c r="J19" s="21">
        <f>SUM(J20:J20)</f>
        <v>0</v>
      </c>
      <c r="K19" s="21">
        <f>SUM(K20:K20)</f>
        <v>0</v>
      </c>
      <c r="L19" s="15" t="s">
        <v>72</v>
      </c>
      <c r="M19" s="21">
        <f>SUM(M20:M20)</f>
        <v>0.00491</v>
      </c>
      <c r="N19" s="46" t="s">
        <v>72</v>
      </c>
      <c r="AI19" s="15" t="s">
        <v>72</v>
      </c>
      <c r="AS19" s="21">
        <f>SUM(AJ20:AJ22)</f>
        <v>0</v>
      </c>
      <c r="AT19" s="21">
        <f>SUM(AK20:AK22)</f>
        <v>0</v>
      </c>
      <c r="AU19" s="21">
        <f>SUM(AL20:AL22)</f>
        <v>0</v>
      </c>
    </row>
    <row r="20" spans="1:64" ht="15" customHeight="1">
      <c r="A20" s="35">
        <v>7</v>
      </c>
      <c r="B20" s="11" t="s">
        <v>72</v>
      </c>
      <c r="C20" s="11"/>
      <c r="D20" s="70" t="s">
        <v>121</v>
      </c>
      <c r="E20" s="70"/>
      <c r="F20" s="11" t="s">
        <v>38</v>
      </c>
      <c r="G20" s="23">
        <v>1</v>
      </c>
      <c r="H20" s="61">
        <v>0</v>
      </c>
      <c r="I20" s="23">
        <v>0</v>
      </c>
      <c r="J20" s="23">
        <f>G20*H20</f>
        <v>0</v>
      </c>
      <c r="K20" s="23">
        <f>G20*H20</f>
        <v>0</v>
      </c>
      <c r="L20" s="23">
        <v>0.00491</v>
      </c>
      <c r="M20" s="23">
        <f>G20*L20</f>
        <v>0.00491</v>
      </c>
      <c r="N20" s="2"/>
      <c r="Z20" s="23">
        <f>IF(AQ20="5",BJ20,0)</f>
        <v>0</v>
      </c>
      <c r="AB20" s="23">
        <f>IF(AQ20="1",BH20,0)</f>
        <v>0</v>
      </c>
      <c r="AC20" s="23">
        <f>IF(AQ20="1",BI20,0)</f>
        <v>0</v>
      </c>
      <c r="AD20" s="23">
        <f>IF(AQ20="7",BH20,0)</f>
        <v>0</v>
      </c>
      <c r="AE20" s="23">
        <f>IF(AQ20="7",BI20,0)</f>
        <v>0</v>
      </c>
      <c r="AF20" s="23">
        <f>IF(AQ20="2",BH20,0)</f>
        <v>0</v>
      </c>
      <c r="AG20" s="23">
        <f>IF(AQ20="2",BI20,0)</f>
        <v>0</v>
      </c>
      <c r="AH20" s="23">
        <f>IF(AQ20="0",BJ20,0)</f>
        <v>0</v>
      </c>
      <c r="AI20" s="15" t="s">
        <v>72</v>
      </c>
      <c r="AJ20" s="23">
        <f>IF(AN20=0,K22,0)</f>
        <v>0</v>
      </c>
      <c r="AK20" s="23">
        <f>IF(AN20=15,K22,0)</f>
        <v>0</v>
      </c>
      <c r="AL20" s="23">
        <f>IF(AN20=21,K22,0)</f>
        <v>0</v>
      </c>
      <c r="AN20" s="23">
        <v>21</v>
      </c>
      <c r="AO20" s="23">
        <f>H22*0</f>
        <v>0</v>
      </c>
      <c r="AP20" s="23">
        <f>H22*(1-0)</f>
        <v>0</v>
      </c>
      <c r="AQ20" s="22" t="s">
        <v>101</v>
      </c>
      <c r="AV20" s="23">
        <f>AW20+AX20</f>
        <v>0</v>
      </c>
      <c r="AW20" s="23">
        <f>G22*AO20</f>
        <v>0</v>
      </c>
      <c r="AX20" s="23">
        <f>G22*AP20</f>
        <v>0</v>
      </c>
      <c r="AY20" s="22" t="s">
        <v>31</v>
      </c>
      <c r="AZ20" s="22" t="s">
        <v>40</v>
      </c>
      <c r="BA20" s="15" t="s">
        <v>79</v>
      </c>
      <c r="BC20" s="23">
        <f>AW20+AX20</f>
        <v>0</v>
      </c>
      <c r="BD20" s="23">
        <f>H22/(100-BE20)*100</f>
        <v>0</v>
      </c>
      <c r="BE20" s="23">
        <v>0</v>
      </c>
      <c r="BF20" s="23">
        <f>M22</f>
        <v>0</v>
      </c>
      <c r="BH20" s="23">
        <f>G22*AO20</f>
        <v>0</v>
      </c>
      <c r="BI20" s="23">
        <f>G22*AP20</f>
        <v>0</v>
      </c>
      <c r="BJ20" s="23">
        <f>G22*H22</f>
        <v>0</v>
      </c>
      <c r="BK20" s="23"/>
      <c r="BL20" s="23">
        <v>90</v>
      </c>
    </row>
    <row r="21" spans="1:64" ht="15" customHeight="1">
      <c r="A21" s="43" t="s">
        <v>72</v>
      </c>
      <c r="B21" s="13" t="s">
        <v>72</v>
      </c>
      <c r="C21" s="13"/>
      <c r="D21" s="110" t="s">
        <v>122</v>
      </c>
      <c r="E21" s="110"/>
      <c r="F21" s="39" t="s">
        <v>93</v>
      </c>
      <c r="G21" s="39" t="s">
        <v>93</v>
      </c>
      <c r="H21" s="39"/>
      <c r="I21" s="21">
        <f>SUM(I22:I24)</f>
        <v>0</v>
      </c>
      <c r="J21" s="21">
        <f>SUM(J22:J24)</f>
        <v>0</v>
      </c>
      <c r="K21" s="21">
        <f>SUM(K22:K24)</f>
        <v>0</v>
      </c>
      <c r="L21" s="15" t="s">
        <v>72</v>
      </c>
      <c r="M21" s="21">
        <f>SUM(M22:M24)</f>
        <v>0.001</v>
      </c>
      <c r="N21" s="46" t="s">
        <v>72</v>
      </c>
      <c r="Z21" s="23">
        <f>IF(AQ21="5",BJ21,0)</f>
        <v>0</v>
      </c>
      <c r="AB21" s="23">
        <f>IF(AQ21="1",BH21,0)</f>
        <v>0</v>
      </c>
      <c r="AC21" s="23">
        <f>IF(AQ21="1",BI21,0)</f>
        <v>0</v>
      </c>
      <c r="AD21" s="23">
        <f>IF(AQ21="7",BH21,0)</f>
        <v>0</v>
      </c>
      <c r="AE21" s="23">
        <f>IF(AQ21="7",BI21,0)</f>
        <v>0</v>
      </c>
      <c r="AF21" s="23">
        <f>IF(AQ21="2",BH21,0)</f>
        <v>0</v>
      </c>
      <c r="AG21" s="23">
        <f>IF(AQ21="2",BI21,0)</f>
        <v>0</v>
      </c>
      <c r="AH21" s="23">
        <f>IF(AQ21="0",BJ21,0)</f>
        <v>0</v>
      </c>
      <c r="AI21" s="15" t="s">
        <v>72</v>
      </c>
      <c r="AJ21" s="23">
        <f>IF(AN21=0,K23,0)</f>
        <v>0</v>
      </c>
      <c r="AK21" s="23">
        <f>IF(AN21=15,K23,0)</f>
        <v>0</v>
      </c>
      <c r="AL21" s="23">
        <f>IF(AN21=21,K23,0)</f>
        <v>0</v>
      </c>
      <c r="AN21" s="23">
        <v>21</v>
      </c>
      <c r="AO21" s="23">
        <f>H23*0</f>
        <v>0</v>
      </c>
      <c r="AP21" s="23">
        <f>H23*(1-0)</f>
        <v>0</v>
      </c>
      <c r="AQ21" s="22" t="s">
        <v>101</v>
      </c>
      <c r="AV21" s="23">
        <f>AW21+AX21</f>
        <v>0</v>
      </c>
      <c r="AW21" s="23">
        <f>G23*AO21</f>
        <v>0</v>
      </c>
      <c r="AX21" s="23">
        <f>G23*AP21</f>
        <v>0</v>
      </c>
      <c r="AY21" s="22" t="s">
        <v>31</v>
      </c>
      <c r="AZ21" s="22" t="s">
        <v>40</v>
      </c>
      <c r="BA21" s="15" t="s">
        <v>79</v>
      </c>
      <c r="BC21" s="23">
        <f>AW21+AX21</f>
        <v>0</v>
      </c>
      <c r="BD21" s="23">
        <f>H23/(100-BE21)*100</f>
        <v>0</v>
      </c>
      <c r="BE21" s="23">
        <v>0</v>
      </c>
      <c r="BF21" s="23">
        <f>M23</f>
        <v>0</v>
      </c>
      <c r="BH21" s="23">
        <f>G23*AO21</f>
        <v>0</v>
      </c>
      <c r="BI21" s="23">
        <f>G23*AP21</f>
        <v>0</v>
      </c>
      <c r="BJ21" s="23">
        <f>G23*H23</f>
        <v>0</v>
      </c>
      <c r="BK21" s="23"/>
      <c r="BL21" s="23">
        <v>90</v>
      </c>
    </row>
    <row r="22" spans="1:64" ht="15" customHeight="1">
      <c r="A22" s="35">
        <v>8</v>
      </c>
      <c r="B22" s="11" t="s">
        <v>72</v>
      </c>
      <c r="C22" s="11"/>
      <c r="D22" s="99" t="s">
        <v>127</v>
      </c>
      <c r="E22" s="99"/>
      <c r="F22" s="58" t="s">
        <v>118</v>
      </c>
      <c r="G22" s="23">
        <v>3</v>
      </c>
      <c r="H22" s="61">
        <v>0</v>
      </c>
      <c r="I22" s="23">
        <v>0</v>
      </c>
      <c r="J22" s="23">
        <f>G22*H22</f>
        <v>0</v>
      </c>
      <c r="K22" s="23">
        <f>G22*H22</f>
        <v>0</v>
      </c>
      <c r="L22" s="23">
        <v>0</v>
      </c>
      <c r="M22" s="23">
        <f>G22*L22</f>
        <v>0</v>
      </c>
      <c r="N22" s="2"/>
      <c r="Z22" s="23">
        <f>IF(AQ22="5",BJ22,0)</f>
        <v>0</v>
      </c>
      <c r="AB22" s="23">
        <f>IF(AQ22="1",BH22,0)</f>
        <v>0</v>
      </c>
      <c r="AC22" s="23">
        <f>IF(AQ22="1",BI22,0)</f>
        <v>0</v>
      </c>
      <c r="AD22" s="23">
        <f>IF(AQ22="7",BH22,0)</f>
        <v>0</v>
      </c>
      <c r="AE22" s="23">
        <f>IF(AQ22="7",BI22,0)</f>
        <v>0</v>
      </c>
      <c r="AF22" s="23">
        <f>IF(AQ22="2",BH22,0)</f>
        <v>0</v>
      </c>
      <c r="AG22" s="23">
        <f>IF(AQ22="2",BI22,0)</f>
        <v>0</v>
      </c>
      <c r="AH22" s="23">
        <f>IF(AQ22="0",BJ22,0)</f>
        <v>0</v>
      </c>
      <c r="AI22" s="15" t="s">
        <v>72</v>
      </c>
      <c r="AJ22" s="23">
        <f>IF(AN22=0,K24,0)</f>
        <v>0</v>
      </c>
      <c r="AK22" s="23">
        <f>IF(AN22=15,K24,0)</f>
        <v>0</v>
      </c>
      <c r="AL22" s="23">
        <f>IF(AN22=21,K24,0)</f>
        <v>0</v>
      </c>
      <c r="AN22" s="23">
        <v>21</v>
      </c>
      <c r="AO22" s="23">
        <f>H24*1</f>
        <v>0</v>
      </c>
      <c r="AP22" s="23">
        <f>H24*(1-1)</f>
        <v>0</v>
      </c>
      <c r="AQ22" s="22" t="s">
        <v>101</v>
      </c>
      <c r="AV22" s="23">
        <f>AW22+AX22</f>
        <v>0</v>
      </c>
      <c r="AW22" s="23">
        <f>G24*AO22</f>
        <v>0</v>
      </c>
      <c r="AX22" s="23">
        <f>G24*AP22</f>
        <v>0</v>
      </c>
      <c r="AY22" s="22" t="s">
        <v>31</v>
      </c>
      <c r="AZ22" s="22" t="s">
        <v>40</v>
      </c>
      <c r="BA22" s="15" t="s">
        <v>79</v>
      </c>
      <c r="BC22" s="23">
        <f>AW22+AX22</f>
        <v>0</v>
      </c>
      <c r="BD22" s="23">
        <f>H24/(100-BE22)*100</f>
        <v>0</v>
      </c>
      <c r="BE22" s="23">
        <v>0</v>
      </c>
      <c r="BF22" s="23">
        <f>M24</f>
        <v>0.001</v>
      </c>
      <c r="BH22" s="23">
        <f>G24*AO22</f>
        <v>0</v>
      </c>
      <c r="BI22" s="23">
        <f>G24*AP22</f>
        <v>0</v>
      </c>
      <c r="BJ22" s="23">
        <f>G24*H24</f>
        <v>0</v>
      </c>
      <c r="BK22" s="23"/>
      <c r="BL22" s="23">
        <v>90</v>
      </c>
    </row>
    <row r="23" spans="1:47" ht="15" customHeight="1">
      <c r="A23" s="35">
        <v>9</v>
      </c>
      <c r="B23" s="11" t="s">
        <v>72</v>
      </c>
      <c r="C23" s="11"/>
      <c r="D23" s="70" t="s">
        <v>123</v>
      </c>
      <c r="E23" s="70"/>
      <c r="F23" s="11" t="s">
        <v>118</v>
      </c>
      <c r="G23" s="23">
        <v>3</v>
      </c>
      <c r="H23" s="61">
        <v>0</v>
      </c>
      <c r="I23" s="23">
        <v>0</v>
      </c>
      <c r="J23" s="23">
        <f>G23*H23</f>
        <v>0</v>
      </c>
      <c r="K23" s="23">
        <f>G23*H23</f>
        <v>0</v>
      </c>
      <c r="L23" s="23">
        <v>0</v>
      </c>
      <c r="M23" s="23">
        <f>G23*L23</f>
        <v>0</v>
      </c>
      <c r="N23" s="2"/>
      <c r="AI23" s="15" t="s">
        <v>72</v>
      </c>
      <c r="AS23" s="21">
        <f>SUM(AJ24:AJ24)</f>
        <v>0</v>
      </c>
      <c r="AT23" s="21">
        <f>SUM(AK24:AK24)</f>
        <v>0</v>
      </c>
      <c r="AU23" s="21">
        <f>SUM(AL24:AL24)</f>
        <v>0</v>
      </c>
    </row>
    <row r="24" spans="1:64" ht="15" customHeight="1">
      <c r="A24" s="35">
        <v>10</v>
      </c>
      <c r="B24" s="11" t="s">
        <v>72</v>
      </c>
      <c r="C24" s="11"/>
      <c r="D24" s="70" t="s">
        <v>124</v>
      </c>
      <c r="E24" s="70"/>
      <c r="F24" s="58" t="s">
        <v>38</v>
      </c>
      <c r="G24" s="23">
        <v>1</v>
      </c>
      <c r="H24" s="61">
        <v>0</v>
      </c>
      <c r="I24" s="23">
        <v>0</v>
      </c>
      <c r="J24" s="23">
        <f>G24*H24</f>
        <v>0</v>
      </c>
      <c r="K24" s="23">
        <f>G24*H24</f>
        <v>0</v>
      </c>
      <c r="L24" s="23">
        <v>0.001</v>
      </c>
      <c r="M24" s="23">
        <f>G24*L24</f>
        <v>0.001</v>
      </c>
      <c r="N24" s="2"/>
      <c r="Z24" s="23">
        <f>IF(AQ24="5",BJ24,0)</f>
        <v>0</v>
      </c>
      <c r="AB24" s="23">
        <f>IF(AQ24="1",BH24,0)</f>
        <v>0</v>
      </c>
      <c r="AC24" s="23">
        <f>IF(AQ24="1",BI24,0)</f>
        <v>0</v>
      </c>
      <c r="AD24" s="23">
        <f>IF(AQ24="7",BH24,0)</f>
        <v>0</v>
      </c>
      <c r="AE24" s="23">
        <f>IF(AQ24="7",BI24,0)</f>
        <v>0</v>
      </c>
      <c r="AF24" s="23">
        <f>IF(AQ24="2",BH24,0)</f>
        <v>0</v>
      </c>
      <c r="AG24" s="23">
        <f>IF(AQ24="2",BI24,0)</f>
        <v>0</v>
      </c>
      <c r="AH24" s="23">
        <f>IF(AQ24="0",BJ24,0)</f>
        <v>0</v>
      </c>
      <c r="AI24" s="15" t="s">
        <v>72</v>
      </c>
      <c r="AJ24" s="23">
        <f>IF(AN24=0,K26,0)</f>
        <v>0</v>
      </c>
      <c r="AK24" s="23">
        <f>IF(AN24=15,K26,0)</f>
        <v>0</v>
      </c>
      <c r="AL24" s="23">
        <f>IF(AN24=21,K26,0)</f>
        <v>0</v>
      </c>
      <c r="AN24" s="23">
        <v>21</v>
      </c>
      <c r="AO24" s="23">
        <f>H26*0</f>
        <v>0</v>
      </c>
      <c r="AP24" s="23">
        <f>H26*(1-0)</f>
        <v>0</v>
      </c>
      <c r="AQ24" s="22" t="s">
        <v>57</v>
      </c>
      <c r="AV24" s="23">
        <f>AW24+AX24</f>
        <v>0</v>
      </c>
      <c r="AW24" s="23">
        <f>G26*AO24</f>
        <v>0</v>
      </c>
      <c r="AX24" s="23">
        <f>G26*AP24</f>
        <v>0</v>
      </c>
      <c r="AY24" s="22" t="s">
        <v>73</v>
      </c>
      <c r="AZ24" s="22" t="s">
        <v>40</v>
      </c>
      <c r="BA24" s="15" t="s">
        <v>79</v>
      </c>
      <c r="BC24" s="23">
        <f>AW24+AX24</f>
        <v>0</v>
      </c>
      <c r="BD24" s="23">
        <f>H26/(100-BE24)*100</f>
        <v>0</v>
      </c>
      <c r="BE24" s="23">
        <v>0</v>
      </c>
      <c r="BF24" s="23">
        <f>M26</f>
        <v>0</v>
      </c>
      <c r="BH24" s="23">
        <f>G26*AO24</f>
        <v>0</v>
      </c>
      <c r="BI24" s="23">
        <f>G26*AP24</f>
        <v>0</v>
      </c>
      <c r="BJ24" s="23">
        <f>G26*H26</f>
        <v>0</v>
      </c>
      <c r="BK24" s="23"/>
      <c r="BL24" s="23"/>
    </row>
    <row r="25" spans="1:14" ht="15" customHeight="1">
      <c r="A25" s="43" t="s">
        <v>72</v>
      </c>
      <c r="B25" s="13" t="s">
        <v>72</v>
      </c>
      <c r="C25" s="13"/>
      <c r="D25" s="110" t="s">
        <v>125</v>
      </c>
      <c r="E25" s="110"/>
      <c r="F25" s="39" t="s">
        <v>93</v>
      </c>
      <c r="G25" s="39" t="s">
        <v>93</v>
      </c>
      <c r="H25" s="39" t="s">
        <v>93</v>
      </c>
      <c r="I25" s="21">
        <f>SUM(I26:I26)</f>
        <v>0</v>
      </c>
      <c r="J25" s="21">
        <f>SUM(J26:J26)</f>
        <v>0</v>
      </c>
      <c r="K25" s="21">
        <f>SUM(K26:K26)</f>
        <v>0</v>
      </c>
      <c r="L25" s="15" t="s">
        <v>72</v>
      </c>
      <c r="M25" s="21">
        <f>SUM(M26:M26)</f>
        <v>0</v>
      </c>
      <c r="N25" s="46" t="s">
        <v>72</v>
      </c>
    </row>
    <row r="26" spans="1:14" ht="15" customHeight="1">
      <c r="A26" s="36">
        <v>11</v>
      </c>
      <c r="B26" s="16" t="s">
        <v>72</v>
      </c>
      <c r="C26" s="16"/>
      <c r="D26" s="99" t="s">
        <v>126</v>
      </c>
      <c r="E26" s="99"/>
      <c r="F26" s="58" t="s">
        <v>38</v>
      </c>
      <c r="G26" s="38">
        <v>1</v>
      </c>
      <c r="H26" s="62">
        <v>0</v>
      </c>
      <c r="I26" s="38">
        <v>0</v>
      </c>
      <c r="J26" s="23">
        <f>G26*H26</f>
        <v>0</v>
      </c>
      <c r="K26" s="38">
        <f>G26*H26</f>
        <v>0</v>
      </c>
      <c r="L26" s="38">
        <v>0</v>
      </c>
      <c r="M26" s="38">
        <f>G26*L26</f>
        <v>0</v>
      </c>
      <c r="N26" s="31"/>
    </row>
    <row r="27" spans="9:11" ht="12.75" customHeight="1">
      <c r="I27" s="102" t="s">
        <v>83</v>
      </c>
      <c r="J27" s="102"/>
      <c r="K27" s="54">
        <f>ROUND(K12+K19+K21+K25,0)</f>
        <v>0</v>
      </c>
    </row>
    <row r="28" ht="15" customHeight="1">
      <c r="A28" s="14" t="s">
        <v>10</v>
      </c>
    </row>
    <row r="29" spans="1:14" ht="15" customHeight="1">
      <c r="A29" s="69" t="s">
        <v>72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</sheetData>
  <sheetProtection/>
  <mergeCells count="46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J3"/>
    <mergeCell ref="D6:E7"/>
    <mergeCell ref="D8:E9"/>
    <mergeCell ref="H2:H3"/>
    <mergeCell ref="H4:H5"/>
    <mergeCell ref="H6:H7"/>
    <mergeCell ref="H8:H9"/>
    <mergeCell ref="K2:N3"/>
    <mergeCell ref="K4:N5"/>
    <mergeCell ref="K6:N7"/>
    <mergeCell ref="K8:N9"/>
    <mergeCell ref="D10:E10"/>
    <mergeCell ref="I4:J5"/>
    <mergeCell ref="I6:J7"/>
    <mergeCell ref="I8:J9"/>
    <mergeCell ref="D2:E3"/>
    <mergeCell ref="D4:E5"/>
    <mergeCell ref="D21:E21"/>
    <mergeCell ref="D22:E22"/>
    <mergeCell ref="D23:E23"/>
    <mergeCell ref="D11:E11"/>
    <mergeCell ref="I10:K10"/>
    <mergeCell ref="L10:M10"/>
    <mergeCell ref="D12:E12"/>
    <mergeCell ref="D13:E13"/>
    <mergeCell ref="D15:E15"/>
    <mergeCell ref="D14:E14"/>
    <mergeCell ref="A29:N29"/>
    <mergeCell ref="D16:E16"/>
    <mergeCell ref="D17:E17"/>
    <mergeCell ref="D24:E24"/>
    <mergeCell ref="D25:E25"/>
    <mergeCell ref="D26:E26"/>
    <mergeCell ref="I27:J27"/>
    <mergeCell ref="D18:E18"/>
    <mergeCell ref="D19:E19"/>
    <mergeCell ref="D20:E20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Pavel Hanzel</cp:lastModifiedBy>
  <dcterms:created xsi:type="dcterms:W3CDTF">2021-06-10T20:06:38Z</dcterms:created>
  <dcterms:modified xsi:type="dcterms:W3CDTF">2022-12-21T07:53:07Z</dcterms:modified>
  <cp:category/>
  <cp:version/>
  <cp:contentType/>
  <cp:contentStatus/>
</cp:coreProperties>
</file>