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720" activeTab="0"/>
  </bookViews>
  <sheets>
    <sheet name="Krycí list rozpočtu" sheetId="5" r:id="rId1"/>
    <sheet name="Rozpočet - Jen objekty celkem" sheetId="3" r:id="rId2"/>
    <sheet name="Rozpočet - Jen skupiny" sheetId="2" r:id="rId3"/>
    <sheet name="Výkaz výměr" sheetId="4" r:id="rId4"/>
    <sheet name="Stavební rozpočet" sheetId="1" r:id="rId5"/>
    <sheet name="VORN" sheetId="6" state="hidden" r:id="rId6"/>
  </sheets>
  <definedNames>
    <definedName name="vorn_sum">'VORN'!$I$36</definedName>
  </definedNames>
  <calcPr calcId="191029"/>
  <extLst/>
</workbook>
</file>

<file path=xl/sharedStrings.xml><?xml version="1.0" encoding="utf-8"?>
<sst xmlns="http://schemas.openxmlformats.org/spreadsheetml/2006/main" count="3689" uniqueCount="704">
  <si>
    <t>Slepý stavební rozpočet</t>
  </si>
  <si>
    <t>Název stavby:</t>
  </si>
  <si>
    <t>MŠ Hlubčická - oprava komunikačních ploch a oplocení</t>
  </si>
  <si>
    <t>Doba výstavby:</t>
  </si>
  <si>
    <t xml:space="preserve"> </t>
  </si>
  <si>
    <t>Objednatel:</t>
  </si>
  <si>
    <t>Město Krnov</t>
  </si>
  <si>
    <t>Druh stavby:</t>
  </si>
  <si>
    <t>Začátek výstavby:</t>
  </si>
  <si>
    <t>Projektant:</t>
  </si>
  <si>
    <t>Radovan Zatloukal</t>
  </si>
  <si>
    <t>Lokalita:</t>
  </si>
  <si>
    <t>Hlubčická 398/89, 794 01 Krnov</t>
  </si>
  <si>
    <t>Konec výstavby:</t>
  </si>
  <si>
    <t>Zhotovitel:</t>
  </si>
  <si>
    <t> </t>
  </si>
  <si>
    <t>JKSO:</t>
  </si>
  <si>
    <t>Zpracováno dne:</t>
  </si>
  <si>
    <t>15.04.2024</t>
  </si>
  <si>
    <t>Zpracoval:</t>
  </si>
  <si>
    <t>Č</t>
  </si>
  <si>
    <t>Objekt</t>
  </si>
  <si>
    <t>Kód</t>
  </si>
  <si>
    <t>Zkrácený popis / Varianta</t>
  </si>
  <si>
    <t>MJ</t>
  </si>
  <si>
    <t>Množství</t>
  </si>
  <si>
    <t>Cena/MJ</t>
  </si>
  <si>
    <t>Náklady (Kč)</t>
  </si>
  <si>
    <t>Hmotnost (t)</t>
  </si>
  <si>
    <t>ISWORK</t>
  </si>
  <si>
    <t>GROUPCODE</t>
  </si>
  <si>
    <t>VATTAX</t>
  </si>
  <si>
    <t>Rozměry</t>
  </si>
  <si>
    <t>(Kč)</t>
  </si>
  <si>
    <t>Celkem</t>
  </si>
  <si>
    <t>Celkem/MJ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</si>
  <si>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</si>
  <si>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</si>
  <si>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</si>
  <si>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</si>
  <si>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</si>
  <si>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</si>
  <si>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</si>
  <si>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</si>
  <si>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</si>
  <si>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</si>
  <si>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</si>
  <si>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</si>
  <si>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/>
  </si>
  <si>
    <t>01</t>
  </si>
  <si>
    <t>Zpevněné plochy</t>
  </si>
  <si>
    <t>11</t>
  </si>
  <si>
    <t>Přípravné a přidružené práce</t>
  </si>
  <si>
    <t>1</t>
  </si>
  <si>
    <t>111200001RA0</t>
  </si>
  <si>
    <t>Odstranění křovin a stromů do 100 mm</t>
  </si>
  <si>
    <t>m2</t>
  </si>
  <si>
    <t>11_</t>
  </si>
  <si>
    <t>01_1_</t>
  </si>
  <si>
    <t>01_</t>
  </si>
  <si>
    <t>2</t>
  </si>
  <si>
    <t>113106121R00</t>
  </si>
  <si>
    <t>Rozebrání dlažeb z betonových dlaždic na sucho</t>
  </si>
  <si>
    <t>3</t>
  </si>
  <si>
    <t>113107425R00</t>
  </si>
  <si>
    <t>Odstranění podkladu nad 50 m2,kam.těžené tl.25 cm</t>
  </si>
  <si>
    <t>4</t>
  </si>
  <si>
    <t>113201111R00</t>
  </si>
  <si>
    <t>Vytrhání obrubníků chodníkových a parkových</t>
  </si>
  <si>
    <t>m</t>
  </si>
  <si>
    <t>12</t>
  </si>
  <si>
    <t>Odkopávky a prokopávky</t>
  </si>
  <si>
    <t>5</t>
  </si>
  <si>
    <t>121101101R00</t>
  </si>
  <si>
    <t>Sejmutí ornice s přemístěním do 50 m</t>
  </si>
  <si>
    <t>m3</t>
  </si>
  <si>
    <t>12_</t>
  </si>
  <si>
    <t>6</t>
  </si>
  <si>
    <t>122201101R00</t>
  </si>
  <si>
    <t>Odkopávky nezapažené v hor. 3 do 100 m3</t>
  </si>
  <si>
    <t>7</t>
  </si>
  <si>
    <t>122201109R00</t>
  </si>
  <si>
    <t>Příplatek za lepivost - odkopávky v hor. 3</t>
  </si>
  <si>
    <t>8</t>
  </si>
  <si>
    <t>120901122R00</t>
  </si>
  <si>
    <t>Bourání konstrukcí z betonu prokl.kam. v odkopávk.</t>
  </si>
  <si>
    <t>16</t>
  </si>
  <si>
    <t>Přemístění výkopku</t>
  </si>
  <si>
    <t>9</t>
  </si>
  <si>
    <t>162201102R00</t>
  </si>
  <si>
    <t>Vodorovné přemístění výkopku z hor.1-4 do 50 m</t>
  </si>
  <si>
    <t>16_</t>
  </si>
  <si>
    <t>10</t>
  </si>
  <si>
    <t>167101101R00</t>
  </si>
  <si>
    <t>Nakládání výkopku z hor.1-4 v množství do 100 m3</t>
  </si>
  <si>
    <t>162701105R00</t>
  </si>
  <si>
    <t>Vodorovné přemístění výkopku z hor.1-4 do 10000 m</t>
  </si>
  <si>
    <t>162701109R00</t>
  </si>
  <si>
    <t>Příplatek k vod. přemístění hor.1-4 za další 1 km</t>
  </si>
  <si>
    <t>13</t>
  </si>
  <si>
    <t>199000005R00</t>
  </si>
  <si>
    <t>Poplatek za skládku zeminy 1- 4</t>
  </si>
  <si>
    <t>t</t>
  </si>
  <si>
    <t>17</t>
  </si>
  <si>
    <t>Konstrukce ze zemin</t>
  </si>
  <si>
    <t>14</t>
  </si>
  <si>
    <t>175101201R00</t>
  </si>
  <si>
    <t>Obsyp objektu bez prohození sypaniny</t>
  </si>
  <si>
    <t>17_</t>
  </si>
  <si>
    <t>18</t>
  </si>
  <si>
    <t>Povrchové úpravy terénu</t>
  </si>
  <si>
    <t>15</t>
  </si>
  <si>
    <t>183403153R00</t>
  </si>
  <si>
    <t>Obdělání půdy hrabáním, v rovině</t>
  </si>
  <si>
    <t>18_</t>
  </si>
  <si>
    <t>183403161R00</t>
  </si>
  <si>
    <t>Obdělání půdy válením, v rovině</t>
  </si>
  <si>
    <t>180402111R00</t>
  </si>
  <si>
    <t>Založení trávníku parkového výsevem v rovině</t>
  </si>
  <si>
    <t>184802111R00</t>
  </si>
  <si>
    <t>Chem. odplevelení před založ. postřikem, v rovině</t>
  </si>
  <si>
    <t>19</t>
  </si>
  <si>
    <t>181301102R00</t>
  </si>
  <si>
    <t>Rozprostření ornice, rovina, tl. 10-15 cm,do 500m2</t>
  </si>
  <si>
    <t>20</t>
  </si>
  <si>
    <t>25234002.A</t>
  </si>
  <si>
    <t>herbicid totální po 20 litrech</t>
  </si>
  <si>
    <t>l</t>
  </si>
  <si>
    <t>21</t>
  </si>
  <si>
    <t>00572400</t>
  </si>
  <si>
    <t>Směs travní parková I. běžná zátěž</t>
  </si>
  <si>
    <t>kg</t>
  </si>
  <si>
    <t>22</t>
  </si>
  <si>
    <t>183204112R00</t>
  </si>
  <si>
    <t>Výsadba trvalek</t>
  </si>
  <si>
    <t>kus</t>
  </si>
  <si>
    <t>23</t>
  </si>
  <si>
    <t>185804111R00</t>
  </si>
  <si>
    <t>Ošetření vysázených květin v rovině</t>
  </si>
  <si>
    <t>24</t>
  </si>
  <si>
    <t>183103121R00</t>
  </si>
  <si>
    <t>Kopání jamek D 25cm,hl.25cm,zabuř.zem.1,2,3,park</t>
  </si>
  <si>
    <t>25</t>
  </si>
  <si>
    <t>30011</t>
  </si>
  <si>
    <t>Allum Gladiator - česnek okrasný</t>
  </si>
  <si>
    <t>ks</t>
  </si>
  <si>
    <t>26</t>
  </si>
  <si>
    <t>30003</t>
  </si>
  <si>
    <t>Rheum rhebarbarum - rebarbora, K9</t>
  </si>
  <si>
    <t>27</t>
  </si>
  <si>
    <t>30001</t>
  </si>
  <si>
    <t>Lavandula officinalis - levandule lékařská, K9</t>
  </si>
  <si>
    <t>28</t>
  </si>
  <si>
    <t>30004</t>
  </si>
  <si>
    <t>Sagina subulata - urazník šídlovitý, K9</t>
  </si>
  <si>
    <t>29</t>
  </si>
  <si>
    <t>30010</t>
  </si>
  <si>
    <t>Allium Neapolitanum - česnek okrasný, 4/+</t>
  </si>
  <si>
    <t>30</t>
  </si>
  <si>
    <t>30007</t>
  </si>
  <si>
    <t>Papaver Alpinum - mák alpinský, K9</t>
  </si>
  <si>
    <t>31</t>
  </si>
  <si>
    <t>30006</t>
  </si>
  <si>
    <t>Thymus preacox Coccineus - mateřídouška, K9</t>
  </si>
  <si>
    <t>32</t>
  </si>
  <si>
    <t>30005</t>
  </si>
  <si>
    <t>Salvia nemorosa - šalvěj hajní, K9</t>
  </si>
  <si>
    <t>33</t>
  </si>
  <si>
    <t>30002</t>
  </si>
  <si>
    <t>Linum narbonense - len - vyšší trvalka, K9</t>
  </si>
  <si>
    <t>34</t>
  </si>
  <si>
    <t>30009</t>
  </si>
  <si>
    <t>Allium sphaerocephalon - česnek okrasný, 6/7</t>
  </si>
  <si>
    <t>35</t>
  </si>
  <si>
    <t>30008</t>
  </si>
  <si>
    <t>Allium schoenoprasum - pažitka, K12</t>
  </si>
  <si>
    <t>36</t>
  </si>
  <si>
    <t>100099</t>
  </si>
  <si>
    <t>Rezerva na uhynuté rostliny</t>
  </si>
  <si>
    <t>%</t>
  </si>
  <si>
    <t>37</t>
  </si>
  <si>
    <t>184201114RA0</t>
  </si>
  <si>
    <t>Výsadba stromu s balem, v rovině, výšky do 200 cm</t>
  </si>
  <si>
    <t>38</t>
  </si>
  <si>
    <t>184201117RA0</t>
  </si>
  <si>
    <t>Výsadba stromu s balem, v rovině, výšky do 350 cm</t>
  </si>
  <si>
    <t>39</t>
  </si>
  <si>
    <t>183101215R00</t>
  </si>
  <si>
    <t>Hloub. jamek s výměnou 50% půdy do 0,4 m3</t>
  </si>
  <si>
    <t>40</t>
  </si>
  <si>
    <t>300012</t>
  </si>
  <si>
    <t>Acer platan globosum - Javor Mleč, 200-250cm</t>
  </si>
  <si>
    <t>41</t>
  </si>
  <si>
    <t>300013</t>
  </si>
  <si>
    <t>Malus - Jabloň, 180-200 cm</t>
  </si>
  <si>
    <t>42</t>
  </si>
  <si>
    <t>Prunus domestica - slivoň švestka, 180-200 cm</t>
  </si>
  <si>
    <t>Zpevňování hornin a konstrukcí</t>
  </si>
  <si>
    <t>43</t>
  </si>
  <si>
    <t>289971211R00</t>
  </si>
  <si>
    <t>Zřízení vrstvy z geotextilie sklon do 1:5 š.do 3 m</t>
  </si>
  <si>
    <t>28_</t>
  </si>
  <si>
    <t>01_2_</t>
  </si>
  <si>
    <t>44</t>
  </si>
  <si>
    <t>67352004</t>
  </si>
  <si>
    <t>Geotextilie netkaná PET 300 g/m2</t>
  </si>
  <si>
    <t>Sloupy a pilíře, stožáry a rámové stojky</t>
  </si>
  <si>
    <t>45</t>
  </si>
  <si>
    <t>338920010R00</t>
  </si>
  <si>
    <t>Osazení betonové palisády, š. do 11 cm, dl. 30 cm</t>
  </si>
  <si>
    <t>33_</t>
  </si>
  <si>
    <t>01_3_</t>
  </si>
  <si>
    <t>56</t>
  </si>
  <si>
    <t>Podkladní vrstvy komunikací, letišť a ploch</t>
  </si>
  <si>
    <t>46</t>
  </si>
  <si>
    <t>564281111R00</t>
  </si>
  <si>
    <t>Podklad ze štěrkopísku po zhutnění tloušťky 30 cm</t>
  </si>
  <si>
    <t>56_</t>
  </si>
  <si>
    <t>01_5_</t>
  </si>
  <si>
    <t>59</t>
  </si>
  <si>
    <t>Kryty pozemních komunikací, letišť a ploch dlážděných (předlažby)</t>
  </si>
  <si>
    <t>47</t>
  </si>
  <si>
    <t>596215021R00</t>
  </si>
  <si>
    <t>Kladení zámkové dlažby tl. 6 cm do drtě tl. 4 cm</t>
  </si>
  <si>
    <t>59_</t>
  </si>
  <si>
    <t>48</t>
  </si>
  <si>
    <t>596291111R00</t>
  </si>
  <si>
    <t>Řezání zámkové dlažby tl. 60 mm</t>
  </si>
  <si>
    <t>49</t>
  </si>
  <si>
    <t>592451000</t>
  </si>
  <si>
    <t>Dlažba zámková sklad. tl. 60mm</t>
  </si>
  <si>
    <t>Poznámka:</t>
  </si>
  <si>
    <t xml:space="preserve">1. kámen 200x200x60 šedá
2. kámen 100x200x60 šedá
3. kámen 100x200x60 žlutá
Dle požadavků investora.
</t>
  </si>
  <si>
    <t>62</t>
  </si>
  <si>
    <t>Úprava povrchů vnější</t>
  </si>
  <si>
    <t>50</t>
  </si>
  <si>
    <t>622397232R00</t>
  </si>
  <si>
    <t>Oprava KZS,plocha do 1m2,minerál,silikonová omítka</t>
  </si>
  <si>
    <t>62_</t>
  </si>
  <si>
    <t>01_6_</t>
  </si>
  <si>
    <t>63</t>
  </si>
  <si>
    <t>Podlahy a podlahové konstrukce</t>
  </si>
  <si>
    <t>51</t>
  </si>
  <si>
    <t>639571210R00</t>
  </si>
  <si>
    <t>Kačírek pro okapový chodník tl. 100 mm</t>
  </si>
  <si>
    <t>63_</t>
  </si>
  <si>
    <t>v barvě zámkové dlažby</t>
  </si>
  <si>
    <t>711</t>
  </si>
  <si>
    <t>Izolace proti vodě</t>
  </si>
  <si>
    <t>52</t>
  </si>
  <si>
    <t>711823121RT6</t>
  </si>
  <si>
    <t>Montáž nopové fólie svisle</t>
  </si>
  <si>
    <t>711_</t>
  </si>
  <si>
    <t>01_71_</t>
  </si>
  <si>
    <t>Varianta:</t>
  </si>
  <si>
    <t xml:space="preserve">včetně dodávky fólie výška nopu 20mm
</t>
  </si>
  <si>
    <t>53</t>
  </si>
  <si>
    <t>711823129RT5</t>
  </si>
  <si>
    <t>Montáž ukončovací lišty k nopové fólii</t>
  </si>
  <si>
    <t>včetně dodávky lišty</t>
  </si>
  <si>
    <t>54</t>
  </si>
  <si>
    <t>711212001RT3</t>
  </si>
  <si>
    <t>Hydroizolační povlak - nátěr</t>
  </si>
  <si>
    <t>včetně dodávky hydroizolace proti vlhkosti, 2 vrstvy</t>
  </si>
  <si>
    <t>55</t>
  </si>
  <si>
    <t>998711201R00</t>
  </si>
  <si>
    <t>Přesun hmot pro izolace proti vodě, výšky do 6 m</t>
  </si>
  <si>
    <t>721</t>
  </si>
  <si>
    <t>Vnitřní kanalizace</t>
  </si>
  <si>
    <t>721242800R</t>
  </si>
  <si>
    <t>Výšková úprava lapačů střešních splavenin</t>
  </si>
  <si>
    <t>721_</t>
  </si>
  <si>
    <t>01_72_</t>
  </si>
  <si>
    <t>demontáž a montáž svodného potrubí, případně jeho úprava</t>
  </si>
  <si>
    <t>767</t>
  </si>
  <si>
    <t>Konstrukce doplňkové stavební (zámečnické)</t>
  </si>
  <si>
    <t>57</t>
  </si>
  <si>
    <t>767900090RAC</t>
  </si>
  <si>
    <t>Demontáž atypických ocelových konstrukcí</t>
  </si>
  <si>
    <t>767_</t>
  </si>
  <si>
    <t>01_76_</t>
  </si>
  <si>
    <t>100 - 250 kg/kus</t>
  </si>
  <si>
    <t>58</t>
  </si>
  <si>
    <t>767110000R</t>
  </si>
  <si>
    <t>D+M přístřešku k umístění kočárků o půdorysném rozměru 2x1,5m</t>
  </si>
  <si>
    <t>kpl</t>
  </si>
  <si>
    <t>Popis přístřešku 2x1,5m, podchodná výška 2,1m.
Sloupky budou z jeklu 100/100/4, 5 kusů.
Uchycení bude provedeno na připravené závitové tyče průměr 12 mm a chemickou kotvu. 
Na spodní části sloupku bude přivařen plech 200x200x5 mm, ten bude sloužit pro ukotvení na betonovou patku.
Konečné ukotvení bude provedeno pomocí matek s podložkou a krytkou. 
Sloupky budou připevněny k betonovému základu 400x400x800 (včetně výkopu).
Ocelová konstrukce bude opracována proti ostrým rohům a bude zinkována.
Finální povrchová úprava ocelové konstrukce bude opatřena komaxitovou barvou, odstín dle výběru investora.
Ocelová kontrukce bude v horní části po obvodu ztužena jeklem 100/100/3, ve spodní části ze 3 stran (1,5 2 a 1,5m), 4tá strana zůstane otevřená pro vjezd kočárků.
3 neprůchozí strany budou vyplněny čirým plexisklem tl. 8mm  (s UV filtrem) v ocelovém profilu.
Zastřešení bude z čirého plexiskla tl. 8 mm (s UV filtrem) a krokvích z jeklu 30/50/3 s rozestupem 500mm vyspádované k odvodu vody a bude mít přesah min. 200mm na každou stranu.
Svod vody bude ve vyspádované části střechy sveden vodorovně a svisle PZ svodem DN 75.
Před výrobou předloží dodavatel výrobní dokumentaci, je nutno dodržet podchodnou výšku 2,1m.</t>
  </si>
  <si>
    <t>998767201R00</t>
  </si>
  <si>
    <t>Přesun hmot pro zámečnické konstr., výšky do 6 m</t>
  </si>
  <si>
    <t>771</t>
  </si>
  <si>
    <t>Podlahy z dlaždic</t>
  </si>
  <si>
    <t>60</t>
  </si>
  <si>
    <t>771990010RA0</t>
  </si>
  <si>
    <t>Vybourání keramické nebo teracové dlažby</t>
  </si>
  <si>
    <t>771_</t>
  </si>
  <si>
    <t>01_77_</t>
  </si>
  <si>
    <t>61</t>
  </si>
  <si>
    <t>771101210R00</t>
  </si>
  <si>
    <t>Penetrace podkladu pod dlažby</t>
  </si>
  <si>
    <t>771101101R00</t>
  </si>
  <si>
    <t>Vysávání podlah prům.vysavačem pro pokládku dlažby</t>
  </si>
  <si>
    <t>771101116R00</t>
  </si>
  <si>
    <t>Vyrovnání podkladů samonivel. hmotou tl. do 30 mm</t>
  </si>
  <si>
    <t>64</t>
  </si>
  <si>
    <t>771111171R00</t>
  </si>
  <si>
    <t>Montáž hran stupňů</t>
  </si>
  <si>
    <t>65</t>
  </si>
  <si>
    <t>771212113R00</t>
  </si>
  <si>
    <t>Kladení dlažby keramické do TM, vel. do 300x300 mm</t>
  </si>
  <si>
    <t>66</t>
  </si>
  <si>
    <t>597642031</t>
  </si>
  <si>
    <t>Dlažba keramická protiskluz. SB 300x300x9 mm</t>
  </si>
  <si>
    <t>67</t>
  </si>
  <si>
    <t>771130111R00</t>
  </si>
  <si>
    <t>Obklad soklíků rovných do tmele výšky do 100 mm</t>
  </si>
  <si>
    <t>68</t>
  </si>
  <si>
    <t>597642410</t>
  </si>
  <si>
    <t>Dlažba keramická matná sokl 300x80x9 mm</t>
  </si>
  <si>
    <t>69</t>
  </si>
  <si>
    <t>998771201R00</t>
  </si>
  <si>
    <t>Přesun hmot pro podlahy z dlaždic, výšky do 6 m</t>
  </si>
  <si>
    <t>91</t>
  </si>
  <si>
    <t>Doplňující konstrukce a práce na pozemních komunikacích a zpevněných plochách</t>
  </si>
  <si>
    <t>70</t>
  </si>
  <si>
    <t>916561111RT2</t>
  </si>
  <si>
    <t>Osazení záhon.obrubníků do lože z C 12/15 s opěrou</t>
  </si>
  <si>
    <t>91_</t>
  </si>
  <si>
    <t>01_9_</t>
  </si>
  <si>
    <t>včetně obrubníku   50/5/20 cm</t>
  </si>
  <si>
    <t>71</t>
  </si>
  <si>
    <t>910000</t>
  </si>
  <si>
    <t>Demontáž stávajícího krycího plechu s odvětráním/osazení nového v Pz úpravě, nové odvětrávací komínky viz. P6</t>
  </si>
  <si>
    <t>soubor</t>
  </si>
  <si>
    <t>72</t>
  </si>
  <si>
    <t>910001</t>
  </si>
  <si>
    <t>Sanace stávajících betonových šachet min. 300mm pod úroveň terénu viz. P7</t>
  </si>
  <si>
    <t>73</t>
  </si>
  <si>
    <t>910002</t>
  </si>
  <si>
    <t>Demontáž stávajícího a zpětná montáž nového poklopu z rýhovaného plechu s obvodovým rámečkem z Pz LR profilu viz. P8</t>
  </si>
  <si>
    <t>74</t>
  </si>
  <si>
    <t>910003</t>
  </si>
  <si>
    <t>D+M nového stojanu na 8 kol viz. P9</t>
  </si>
  <si>
    <t>Nový stojan je navržen pro 8 kol. Jedná se o ocelovou konstrukci ze segmentů ohýbaného jäklu a pásové oceli. Lakováno vypalovanou barvou na žárový zinek. (čtyři základní barvy). Příprava a kotvení dle výrobce. Nutno předem ověřit přípravu. Přesný typ stojanu je znázorněn ve výkresové části.</t>
  </si>
  <si>
    <t>75</t>
  </si>
  <si>
    <t>910004</t>
  </si>
  <si>
    <t>Výšková úprava šachty, nový pochozí poklop - zabezpečený proti snadnému otevření viz. P10</t>
  </si>
  <si>
    <t>76</t>
  </si>
  <si>
    <t>910005</t>
  </si>
  <si>
    <t>Nový nátěr HUP odstranění stávajícho, odrezovač 1Z+2E v souladu s podmínkami provozovatele viz. P11</t>
  </si>
  <si>
    <t>77</t>
  </si>
  <si>
    <t>910006</t>
  </si>
  <si>
    <t>Vybourání betonu kolem šachty, výšková úprava šachty - bet. Prstnenec viz. P14</t>
  </si>
  <si>
    <t>78</t>
  </si>
  <si>
    <t>910007</t>
  </si>
  <si>
    <t>D+M Lavičky s výhledem na herní plochu</t>
  </si>
  <si>
    <t>např. https://www.streetpark.eu/cs/vyrobek/parkove-lavicky-inoa/</t>
  </si>
  <si>
    <t>96</t>
  </si>
  <si>
    <t>Bourání konstrukcí</t>
  </si>
  <si>
    <t>79</t>
  </si>
  <si>
    <t>965081702R00</t>
  </si>
  <si>
    <t>Bourání soklíků z dlažeb keramických</t>
  </si>
  <si>
    <t>96_</t>
  </si>
  <si>
    <t>97</t>
  </si>
  <si>
    <t>Prorážení otvorů a ostatní bourací práce</t>
  </si>
  <si>
    <t>80</t>
  </si>
  <si>
    <t>976085411R00</t>
  </si>
  <si>
    <t>Vybourání kanal.rámů a poklopů plochy nad 0,6 m2</t>
  </si>
  <si>
    <t>97_</t>
  </si>
  <si>
    <t>H22</t>
  </si>
  <si>
    <t>Komunikace pozemní a letiště</t>
  </si>
  <si>
    <t>81</t>
  </si>
  <si>
    <t>998223011R00</t>
  </si>
  <si>
    <t>Přesun hmot, pozemní komunikace, kryt dlážděný</t>
  </si>
  <si>
    <t>H22_</t>
  </si>
  <si>
    <t>S</t>
  </si>
  <si>
    <t>Přesuny sutí</t>
  </si>
  <si>
    <t>82</t>
  </si>
  <si>
    <t>979082212R00</t>
  </si>
  <si>
    <t>Vodorovná doprava suti po suchu do 50 m</t>
  </si>
  <si>
    <t>S_</t>
  </si>
  <si>
    <t>83</t>
  </si>
  <si>
    <t>979082318R00</t>
  </si>
  <si>
    <t>Vodorovná doprava suti a hmot po suchu do 6000 m</t>
  </si>
  <si>
    <t>84</t>
  </si>
  <si>
    <t>979082119R00</t>
  </si>
  <si>
    <t>Příplatek k přesunu suti za každých dalších 1000 m</t>
  </si>
  <si>
    <t>85</t>
  </si>
  <si>
    <t>979093111R00</t>
  </si>
  <si>
    <t>Uložení suti na skládku bez zhutnění</t>
  </si>
  <si>
    <t>86</t>
  </si>
  <si>
    <t>979087212R00</t>
  </si>
  <si>
    <t>Nakládání suti na dopravní prostředky - komunikace</t>
  </si>
  <si>
    <t>87</t>
  </si>
  <si>
    <t>979990001R00</t>
  </si>
  <si>
    <t>Poplatek za skládku stavební suti Holasovice</t>
  </si>
  <si>
    <t>02</t>
  </si>
  <si>
    <t>Oplocení</t>
  </si>
  <si>
    <t>88</t>
  </si>
  <si>
    <t>113107420R00</t>
  </si>
  <si>
    <t>Odstranění podkladu nad 50 m2,kam.těžené tl.20 cm</t>
  </si>
  <si>
    <t>02_1_</t>
  </si>
  <si>
    <t>02_</t>
  </si>
  <si>
    <t>89</t>
  </si>
  <si>
    <t>Hloubené vykopávky</t>
  </si>
  <si>
    <t>90</t>
  </si>
  <si>
    <t>139601102R00</t>
  </si>
  <si>
    <t>Ruční výkop jam, rýh a šachet v hornině tř. 3</t>
  </si>
  <si>
    <t>13_</t>
  </si>
  <si>
    <t>174101102R00</t>
  </si>
  <si>
    <t>Zásyp ruční se zhutněním</t>
  </si>
  <si>
    <t>92</t>
  </si>
  <si>
    <t>93</t>
  </si>
  <si>
    <t>94</t>
  </si>
  <si>
    <t>95</t>
  </si>
  <si>
    <t>98</t>
  </si>
  <si>
    <t>99</t>
  </si>
  <si>
    <t>183103124R00</t>
  </si>
  <si>
    <t>Kopání jamek D 25cm,hl.25 cm,zabuř.zem.4,park</t>
  </si>
  <si>
    <t>100</t>
  </si>
  <si>
    <t>184701111R00</t>
  </si>
  <si>
    <t>Výsadba živého plotu bez balu do rýhy, v rovině</t>
  </si>
  <si>
    <t>do trojsponu</t>
  </si>
  <si>
    <t>101</t>
  </si>
  <si>
    <t>026503243</t>
  </si>
  <si>
    <t>Habr obecný - Carpinus betulus 51-80 cm, prostok.</t>
  </si>
  <si>
    <t>102</t>
  </si>
  <si>
    <t>103</t>
  </si>
  <si>
    <t>02_2_</t>
  </si>
  <si>
    <t>104</t>
  </si>
  <si>
    <t>105</t>
  </si>
  <si>
    <t>338171112R00</t>
  </si>
  <si>
    <t>Osazení sloupků plot.ocelových do 2 m,zabet.C25/30</t>
  </si>
  <si>
    <t>02_3_</t>
  </si>
  <si>
    <t>106</t>
  </si>
  <si>
    <t>55113001.A</t>
  </si>
  <si>
    <t>Sloupek čtyřhranný jackel 60x60x3mm dl. 2400mm žárově pozinkovaný</t>
  </si>
  <si>
    <t>oboustraně pozinkovat</t>
  </si>
  <si>
    <t>107</t>
  </si>
  <si>
    <t>Sloupek čtyřhranný jackel 60x60x3mm dl. 2600mm žárově pozinkovaný</t>
  </si>
  <si>
    <t>108</t>
  </si>
  <si>
    <t>55113003.A</t>
  </si>
  <si>
    <t>Krytka sloupku PVC 60/60 čtyřhranná</t>
  </si>
  <si>
    <t>109</t>
  </si>
  <si>
    <t>28611160.A</t>
  </si>
  <si>
    <t>Trubka kanalizační KGEM SN 4 PVC 250x6,2x1000 mm</t>
  </si>
  <si>
    <t>110</t>
  </si>
  <si>
    <t>564861111RT4</t>
  </si>
  <si>
    <t>Podklad ze štěrkodrti po zhutnění tloušťky 20 cm</t>
  </si>
  <si>
    <t>02_5_</t>
  </si>
  <si>
    <t>štěrkodrť frakce 32z-63 mm</t>
  </si>
  <si>
    <t>111</t>
  </si>
  <si>
    <t>02_76_</t>
  </si>
  <si>
    <t>112</t>
  </si>
  <si>
    <t>767920230R00</t>
  </si>
  <si>
    <t>Montáž vrat na ocelové sloupky, plochy do 6 m2</t>
  </si>
  <si>
    <t>113</t>
  </si>
  <si>
    <t>767914130R00</t>
  </si>
  <si>
    <t>Montáž oplocení rámového H do 2,0 m</t>
  </si>
  <si>
    <t>114</t>
  </si>
  <si>
    <t>00572110</t>
  </si>
  <si>
    <t>Brána jaklová Zn 3020x1750 viz. výkres brány</t>
  </si>
  <si>
    <t>Specifikace brány viz. samostatný výkres
- Plotový dílec s 3D podélným prolisem (2500x1730) - 2ks, povrchová úprava žárovým zinkováním upravit délku na rozměr brány (mechanicky - pákové kleště)
- Sloupek branky z jáklu 80x80x3mm dl. 2400mm, oboustranný žárový pozink 2ks
- Plastová záslepka 80x80 2ks
- Rám ikřídla brány z jáklu 60x60x3mm, dl. 6300, oboustranný žárový pozink 2ks
- Vratový pant s regulační maticí 6ks
- Zástrč s protikusem ukotveným v zemině s okem pro osazení vysacího zámku 1ks
- Výklopný stavěč křídla v Pz úpravě
- Kovová petlice v Pz úpravě</t>
  </si>
  <si>
    <t>115</t>
  </si>
  <si>
    <t>55113000.A</t>
  </si>
  <si>
    <t>Panel 3D 2500x1530 žárově zinkovaný</t>
  </si>
  <si>
    <t>116</t>
  </si>
  <si>
    <t>55113002.A</t>
  </si>
  <si>
    <t>Příchytka panelu nerez čyřhranný sloupek 3D panel</t>
  </si>
  <si>
    <t>117</t>
  </si>
  <si>
    <t>318110011RT7</t>
  </si>
  <si>
    <t>Osazení beton. podhrabové desky do ZN držáků</t>
  </si>
  <si>
    <t>deska 245x30x5cm, držák na sloupek 6x6/4cm v.30cm</t>
  </si>
  <si>
    <t>118</t>
  </si>
  <si>
    <t>318110000R</t>
  </si>
  <si>
    <t>Doplnění pletiva na stávající oplocení pletivo s oky 50x50 vázacím drátem</t>
  </si>
  <si>
    <t>119</t>
  </si>
  <si>
    <t>120</t>
  </si>
  <si>
    <t>966067111R00</t>
  </si>
  <si>
    <t>Rozebrání plotu tyč. lať. prken. drátěného, plech.</t>
  </si>
  <si>
    <t>02_9_</t>
  </si>
  <si>
    <t>121</t>
  </si>
  <si>
    <t>122</t>
  </si>
  <si>
    <t>123</t>
  </si>
  <si>
    <t>124</t>
  </si>
  <si>
    <t>125</t>
  </si>
  <si>
    <t>126</t>
  </si>
  <si>
    <t>127</t>
  </si>
  <si>
    <t>03</t>
  </si>
  <si>
    <t>VRN</t>
  </si>
  <si>
    <t>101VD</t>
  </si>
  <si>
    <t>VRN1 - Zařízení staveniště</t>
  </si>
  <si>
    <t>128</t>
  </si>
  <si>
    <t>10101</t>
  </si>
  <si>
    <t>Náklady zhotovitele související se zajištěním provozů nutných pro provádění díla - zařízení staveniště</t>
  </si>
  <si>
    <t>101VD_</t>
  </si>
  <si>
    <t>03_1_</t>
  </si>
  <si>
    <t>03_</t>
  </si>
  <si>
    <t>129</t>
  </si>
  <si>
    <t>10102</t>
  </si>
  <si>
    <t>Náklady zhotovitele související se zajištěním provozů nutných pro provádění díla - provoz zařízení staveniště</t>
  </si>
  <si>
    <t>130</t>
  </si>
  <si>
    <t>10103</t>
  </si>
  <si>
    <t>Náklady zhotovitele související se zajištěním provozů nutných pro prováděněí díla - likvidace zařízení staveniště</t>
  </si>
  <si>
    <t>131</t>
  </si>
  <si>
    <t>10104</t>
  </si>
  <si>
    <t>Mobilní oplocení po dobu stavby</t>
  </si>
  <si>
    <t>132</t>
  </si>
  <si>
    <t>10105</t>
  </si>
  <si>
    <t>Připojení energií pro účel stavby</t>
  </si>
  <si>
    <t>133</t>
  </si>
  <si>
    <t>10106</t>
  </si>
  <si>
    <t>Energie pro zařízení staveniště</t>
  </si>
  <si>
    <t>102VD</t>
  </si>
  <si>
    <t>VRN2 - Inženýrská činnost</t>
  </si>
  <si>
    <t>134</t>
  </si>
  <si>
    <t>10201</t>
  </si>
  <si>
    <t>Dodávka a montáž informačních tabulek a označení</t>
  </si>
  <si>
    <t>102VD_</t>
  </si>
  <si>
    <t>135</t>
  </si>
  <si>
    <t>10202</t>
  </si>
  <si>
    <t>Dokumentace skutečného provedení</t>
  </si>
  <si>
    <t>136</t>
  </si>
  <si>
    <t>10204</t>
  </si>
  <si>
    <t>Koordinační činnost zhotovitele</t>
  </si>
  <si>
    <t>137</t>
  </si>
  <si>
    <t>10206</t>
  </si>
  <si>
    <t>Náklady zhotvitele souvisejicí se zajištěním a provedením kompletního díla dle PD a souvisejících dokladů - kompletační činnost pro účely kolaudace</t>
  </si>
  <si>
    <t>138</t>
  </si>
  <si>
    <t>10207</t>
  </si>
  <si>
    <t>Geodetické práce - Skutečné provedení stavby jako podklad pro akceptační protokol</t>
  </si>
  <si>
    <t>139</t>
  </si>
  <si>
    <t>10209</t>
  </si>
  <si>
    <t>Geodetické práce - Vytyčení hranice pozemku v místě oplocení</t>
  </si>
  <si>
    <t>včetně mezníku + 10 geodetických bodů</t>
  </si>
  <si>
    <t>140</t>
  </si>
  <si>
    <t>Geodetické práce - Akceptační protokol / Technická mapa Krnov</t>
  </si>
  <si>
    <t>141</t>
  </si>
  <si>
    <t>10216</t>
  </si>
  <si>
    <t>Vytyčení inženýrských sítí</t>
  </si>
  <si>
    <t>142</t>
  </si>
  <si>
    <t>10218</t>
  </si>
  <si>
    <t>Zkoušky hutnění, únosnosti zemní pláně</t>
  </si>
  <si>
    <t>143</t>
  </si>
  <si>
    <t>10219</t>
  </si>
  <si>
    <t>Zpracování fotodokumentace</t>
  </si>
  <si>
    <t>144</t>
  </si>
  <si>
    <t>10220</t>
  </si>
  <si>
    <t>Přeložka SEK</t>
  </si>
  <si>
    <t>104VD</t>
  </si>
  <si>
    <t>VRN4 - Provozní vlivy</t>
  </si>
  <si>
    <t>145</t>
  </si>
  <si>
    <t>10401</t>
  </si>
  <si>
    <t>Dočasné dopravní značení - pronájem</t>
  </si>
  <si>
    <t>104VD_</t>
  </si>
  <si>
    <t>146</t>
  </si>
  <si>
    <t>10405</t>
  </si>
  <si>
    <t>Ochrana stávajících inženýrských sítí v prostoru stavby během výstavby</t>
  </si>
  <si>
    <t>147</t>
  </si>
  <si>
    <t>10408</t>
  </si>
  <si>
    <t>Pravidelné čištění přilehlých/souvisejících komunikací a zpevněnách ploch po celou dobu stavby</t>
  </si>
  <si>
    <t>148</t>
  </si>
  <si>
    <t>Provedení sond inženýrských sítí</t>
  </si>
  <si>
    <t>Slepý stavební rozpočet - Jen skupiny</t>
  </si>
  <si>
    <t>Zkrácený popis</t>
  </si>
  <si>
    <t>F</t>
  </si>
  <si>
    <t>Zemní práce</t>
  </si>
  <si>
    <t>T</t>
  </si>
  <si>
    <t>Základy, zvláštní zakládání, zpevňování hornin</t>
  </si>
  <si>
    <t>Svislé a kompletní konstrukce</t>
  </si>
  <si>
    <t>Komunikace</t>
  </si>
  <si>
    <t>Úpravy povrchů a osazování výplní otvorů</t>
  </si>
  <si>
    <t>Izolace</t>
  </si>
  <si>
    <t>Zdravotně technické instalace</t>
  </si>
  <si>
    <t>Konstrukce</t>
  </si>
  <si>
    <t>Podlahy</t>
  </si>
  <si>
    <t>Dokončovací práce, demolice</t>
  </si>
  <si>
    <t>Celkem:</t>
  </si>
  <si>
    <t>Slepý stavební rozpočet - Jen objekty celkem</t>
  </si>
  <si>
    <t>Výkaz výměr</t>
  </si>
  <si>
    <t>Potřebné množství</t>
  </si>
  <si>
    <t>Betonová plocha 300/300</t>
  </si>
  <si>
    <t>151</t>
  </si>
  <si>
    <t>Stávající chodník</t>
  </si>
  <si>
    <t>6*0,5</t>
  </si>
  <si>
    <t>Rozebrání dlažby</t>
  </si>
  <si>
    <t>9,6*0,5</t>
  </si>
  <si>
    <t>208,6*0,1</t>
  </si>
  <si>
    <t>0,3*0,3*0,4*60</t>
  </si>
  <si>
    <t>Bourání patek plotu</t>
  </si>
  <si>
    <t>3,2*0,2</t>
  </si>
  <si>
    <t>0,5*6*0,2</t>
  </si>
  <si>
    <t>9,6*0,5*0,2</t>
  </si>
  <si>
    <t>1*1*0,2</t>
  </si>
  <si>
    <t>2,6*0,2</t>
  </si>
  <si>
    <t>2*0,2</t>
  </si>
  <si>
    <t>1,8*0,54*0,3</t>
  </si>
  <si>
    <t>183,54*7</t>
  </si>
  <si>
    <t>183,54*1,8</t>
  </si>
  <si>
    <t>-18,76*1,8</t>
  </si>
  <si>
    <t>46,9*0,4</t>
  </si>
  <si>
    <t>208,86*0,01</t>
  </si>
  <si>
    <t>208,86*0,03</t>
  </si>
  <si>
    <t>208,6</t>
  </si>
  <si>
    <t>46,9</t>
  </si>
  <si>
    <t>191,35*0,5</t>
  </si>
  <si>
    <t>351,175*1,05</t>
  </si>
  <si>
    <t>1,8+0,5+0,5</t>
  </si>
  <si>
    <t>1,02</t>
  </si>
  <si>
    <t>1,88+0,3</t>
  </si>
  <si>
    <t>1,5+1,5+1,5</t>
  </si>
  <si>
    <t>191,35/2</t>
  </si>
  <si>
    <t>221,62*1,1</t>
  </si>
  <si>
    <t>(15,55+1,8+3,62+0,62+10,96+2,36+5,3+2+12+17,57)*0,5</t>
  </si>
  <si>
    <t>15,55+1,8+3,62+0,62+10,96+2,36+5,3+2+12+17,57</t>
  </si>
  <si>
    <t>6,498</t>
  </si>
  <si>
    <t>20*2</t>
  </si>
  <si>
    <t>Demontáž stojanů na kola</t>
  </si>
  <si>
    <t>3,2</t>
  </si>
  <si>
    <t>3,6</t>
  </si>
  <si>
    <t>1,4</t>
  </si>
  <si>
    <t>1,8*0,54</t>
  </si>
  <si>
    <t>6,2+(1,49*0,2)</t>
  </si>
  <si>
    <t>6,2*1,1</t>
  </si>
  <si>
    <t>1,49*0,3</t>
  </si>
  <si>
    <t>3,24+0,79+0,2+2,1+0,4+0,33+0,22+0,51</t>
  </si>
  <si>
    <t>7,79/0,3333*1,1</t>
  </si>
  <si>
    <t>2+17,57+15+10,96+2,36+7,5+12,51+14,49+3,5+1+2,5+1,35</t>
  </si>
  <si>
    <t>18,5+0,35+15,55+3,62+3,12+5,21+1,725+1,725+5,43+1,93+1,93+1,3+1,5+1,5+5,93+1,57+1,4+1,4+6,49+6,49</t>
  </si>
  <si>
    <t>1,47+1,21+2,72+6,54+2</t>
  </si>
  <si>
    <t>286,2728*11</t>
  </si>
  <si>
    <t>400</t>
  </si>
  <si>
    <t>Odstranění dočasné příjezdové cesty</t>
  </si>
  <si>
    <t>335*0,15</t>
  </si>
  <si>
    <t>Plocha u plotu</t>
  </si>
  <si>
    <t>0,3*0,3*0,5*38</t>
  </si>
  <si>
    <t>Výkop patek plotu</t>
  </si>
  <si>
    <t>Zásyp patek plotu</t>
  </si>
  <si>
    <t>335+400</t>
  </si>
  <si>
    <t>(335+400)*0,03</t>
  </si>
  <si>
    <t>(335+400)*0,01</t>
  </si>
  <si>
    <t>335</t>
  </si>
  <si>
    <t>7*85</t>
  </si>
  <si>
    <t>Podkladní pás pod příjezdovou plochu</t>
  </si>
  <si>
    <t>400*1,05</t>
  </si>
  <si>
    <t>Demontáž plotové brány</t>
  </si>
  <si>
    <t>178,3*11</t>
  </si>
  <si>
    <t>Krycí list slepého rozpočtu</t>
  </si>
  <si>
    <t>IČO/DIČ:</t>
  </si>
  <si>
    <t>00296139/CZ00296139</t>
  </si>
  <si>
    <t>73085022/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</si>
  <si>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</si>
  <si>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</si>
  <si>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</si>
  <si>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</si>
  <si>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</si>
  <si>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</si>
  <si>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</si>
  <si>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</si>
  <si>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</si>
  <si>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</si>
  <si>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</si>
  <si>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</si>
  <si>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</si>
  <si>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</si>
  <si>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</si>
  <si>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</si>
  <si>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</si>
  <si>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</si>
  <si>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</si>
  <si>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</si>
  <si>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</si>
  <si>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</si>
  <si>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</si>
  <si>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</si>
  <si>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</si>
  <si>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</si>
  <si>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</si>
  <si>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</si>
  <si>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</si>
  <si>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</si>
  <si>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</si>
  <si>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</si>
  <si>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</si>
  <si>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</si>
  <si>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</si>
  <si>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</si>
  <si>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</si>
  <si>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</si>
  <si>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</si>
  <si>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</si>
  <si>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</si>
  <si>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</si>
  <si>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</si>
  <si>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</si>
  <si>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</si>
  <si>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Doplňkové náklady DN</t>
  </si>
  <si>
    <t>Kč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</si>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</sst>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  <family val="2"/>
    </font>
    <font>
      <sz val="1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C0C0C0"/>
      </left>
      <right/>
      <top/>
      <bottom/>
    </border>
    <border>
      <left/>
      <right style="thin">
        <color rgb="FFC0C0C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4" fontId="3" fillId="2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left" vertical="center"/>
      <protection locked="0"/>
    </xf>
    <xf numFmtId="4" fontId="3" fillId="2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3" borderId="0" xfId="0" applyNumberFormat="1" applyFont="1" applyFill="1" applyAlignment="1" applyProtection="1">
      <alignment horizontal="right" vertical="center"/>
      <protection locked="0"/>
    </xf>
    <xf numFmtId="4" fontId="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/>
    <xf numFmtId="0" fontId="5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4" fontId="4" fillId="4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 applyProtection="1">
      <alignment horizontal="right" vertical="center"/>
      <protection locked="0"/>
    </xf>
    <xf numFmtId="4" fontId="4" fillId="4" borderId="1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" fontId="4" fillId="3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4" fontId="4" fillId="3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0" fillId="0" borderId="9" xfId="0" applyBorder="1"/>
    <xf numFmtId="0" fontId="4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4" fontId="12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" fontId="11" fillId="2" borderId="1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4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7"/>
  <sheetViews>
    <sheetView tabSelected="1" workbookViewId="0" topLeftCell="A1">
      <selection activeCell="A37" sqref="A37:I37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7.140625" style="0" customWidth="1"/>
    <col min="4" max="4" width="10.00390625" style="0" customWidth="1"/>
    <col min="5" max="5" width="14.00390625" style="0" customWidth="1"/>
    <col min="6" max="6" width="27.140625" style="0" customWidth="1"/>
    <col min="7" max="7" width="9.140625" style="0" customWidth="1"/>
    <col min="8" max="8" width="12.8515625" style="0" customWidth="1"/>
    <col min="9" max="9" width="27.140625" style="0" customWidth="1"/>
  </cols>
  <sheetData>
    <row r="1" spans="1:9" ht="54.75" customHeight="1">
      <c r="A1" s="159" t="s">
        <v>646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1</v>
      </c>
      <c r="B2" s="109"/>
      <c r="C2" s="117" t="str">
        <f>'Stavební rozpočet'!D2</f>
        <v>MŠ Hlubčická - oprava komunikačních ploch a oplocení</v>
      </c>
      <c r="D2" s="118"/>
      <c r="E2" s="115" t="s">
        <v>5</v>
      </c>
      <c r="F2" s="115" t="str">
        <f>'Stavební rozpočet'!J2</f>
        <v>Město Krnov</v>
      </c>
      <c r="G2" s="109"/>
      <c r="H2" s="115" t="s">
        <v>647</v>
      </c>
      <c r="I2" s="123" t="s">
        <v>648</v>
      </c>
    </row>
    <row r="3" spans="1:9" ht="15" customHeight="1">
      <c r="A3" s="110"/>
      <c r="B3" s="111"/>
      <c r="C3" s="119"/>
      <c r="D3" s="119"/>
      <c r="E3" s="111"/>
      <c r="F3" s="111"/>
      <c r="G3" s="111"/>
      <c r="H3" s="111"/>
      <c r="I3" s="124"/>
    </row>
    <row r="4" spans="1:9" ht="15">
      <c r="A4" s="112" t="s">
        <v>7</v>
      </c>
      <c r="B4" s="111"/>
      <c r="C4" s="116" t="str">
        <f>'Stavební rozpočet'!D4</f>
        <v xml:space="preserve"> </v>
      </c>
      <c r="D4" s="111"/>
      <c r="E4" s="116" t="s">
        <v>9</v>
      </c>
      <c r="F4" s="116" t="str">
        <f>'Stavební rozpočet'!J4</f>
        <v>Radovan Zatloukal</v>
      </c>
      <c r="G4" s="111"/>
      <c r="H4" s="116" t="s">
        <v>647</v>
      </c>
      <c r="I4" s="124" t="s">
        <v>649</v>
      </c>
    </row>
    <row r="5" spans="1:9" ht="15" customHeight="1">
      <c r="A5" s="110"/>
      <c r="B5" s="111"/>
      <c r="C5" s="111"/>
      <c r="D5" s="111"/>
      <c r="E5" s="111"/>
      <c r="F5" s="111"/>
      <c r="G5" s="111"/>
      <c r="H5" s="111"/>
      <c r="I5" s="124"/>
    </row>
    <row r="6" spans="1:9" ht="15">
      <c r="A6" s="112" t="s">
        <v>11</v>
      </c>
      <c r="B6" s="111"/>
      <c r="C6" s="116" t="str">
        <f>'Stavební rozpočet'!D6</f>
        <v>Hlubčická 398/89, 794 01 Krnov</v>
      </c>
      <c r="D6" s="111"/>
      <c r="E6" s="116" t="s">
        <v>14</v>
      </c>
      <c r="F6" s="116" t="str">
        <f>'Stavební rozpočet'!J6</f>
        <v> </v>
      </c>
      <c r="G6" s="111"/>
      <c r="H6" s="116" t="s">
        <v>647</v>
      </c>
      <c r="I6" s="124" t="s">
        <v>48</v>
      </c>
    </row>
    <row r="7" spans="1:9" ht="15" customHeight="1">
      <c r="A7" s="110"/>
      <c r="B7" s="111"/>
      <c r="C7" s="111"/>
      <c r="D7" s="111"/>
      <c r="E7" s="111"/>
      <c r="F7" s="111"/>
      <c r="G7" s="111"/>
      <c r="H7" s="111"/>
      <c r="I7" s="124"/>
    </row>
    <row r="8" spans="1:9" ht="15">
      <c r="A8" s="112" t="s">
        <v>8</v>
      </c>
      <c r="B8" s="111"/>
      <c r="C8" s="116" t="str">
        <f>'Stavební rozpočet'!H4</f>
        <v xml:space="preserve"> </v>
      </c>
      <c r="D8" s="111"/>
      <c r="E8" s="116" t="s">
        <v>13</v>
      </c>
      <c r="F8" s="116" t="str">
        <f>'Stavební rozpočet'!H6</f>
        <v xml:space="preserve"> </v>
      </c>
      <c r="G8" s="111"/>
      <c r="H8" s="111" t="s">
        <v>650</v>
      </c>
      <c r="I8" s="161">
        <v>148</v>
      </c>
    </row>
    <row r="9" spans="1:9" ht="15">
      <c r="A9" s="110"/>
      <c r="B9" s="111"/>
      <c r="C9" s="111"/>
      <c r="D9" s="111"/>
      <c r="E9" s="111"/>
      <c r="F9" s="111"/>
      <c r="G9" s="111"/>
      <c r="H9" s="111"/>
      <c r="I9" s="124"/>
    </row>
    <row r="10" spans="1:9" ht="15">
      <c r="A10" s="112" t="s">
        <v>16</v>
      </c>
      <c r="B10" s="111"/>
      <c r="C10" s="116" t="str">
        <f>'Stavební rozpočet'!D8</f>
        <v xml:space="preserve"> </v>
      </c>
      <c r="D10" s="111"/>
      <c r="E10" s="116" t="s">
        <v>19</v>
      </c>
      <c r="F10" s="116" t="str">
        <f>'Stavební rozpočet'!J8</f>
        <v> </v>
      </c>
      <c r="G10" s="111"/>
      <c r="H10" s="111" t="s">
        <v>651</v>
      </c>
      <c r="I10" s="162" t="str">
        <f>'Stavební rozpočet'!H8</f>
        <v>15.04.2024</v>
      </c>
    </row>
    <row r="11" spans="1:9" ht="15">
      <c r="A11" s="160"/>
      <c r="B11" s="148"/>
      <c r="C11" s="148"/>
      <c r="D11" s="148"/>
      <c r="E11" s="148"/>
      <c r="F11" s="148"/>
      <c r="G11" s="148"/>
      <c r="H11" s="148"/>
      <c r="I11" s="163"/>
    </row>
    <row r="12" spans="1:9" ht="23.25">
      <c r="A12" s="164" t="s">
        <v>652</v>
      </c>
      <c r="B12" s="164"/>
      <c r="C12" s="164"/>
      <c r="D12" s="164"/>
      <c r="E12" s="164"/>
      <c r="F12" s="164"/>
      <c r="G12" s="164"/>
      <c r="H12" s="164"/>
      <c r="I12" s="164"/>
    </row>
    <row r="13" spans="1:9" ht="26.25" customHeight="1">
      <c r="A13" s="85" t="s">
        <v>653</v>
      </c>
      <c r="B13" s="165" t="s">
        <v>654</v>
      </c>
      <c r="C13" s="166"/>
      <c r="D13" s="86" t="s">
        <v>655</v>
      </c>
      <c r="E13" s="165" t="s">
        <v>656</v>
      </c>
      <c r="F13" s="166"/>
      <c r="G13" s="86" t="s">
        <v>657</v>
      </c>
      <c r="H13" s="165" t="s">
        <v>658</v>
      </c>
      <c r="I13" s="166"/>
    </row>
    <row r="14" spans="1:9" ht="15.75">
      <c r="A14" s="87" t="s">
        <v>659</v>
      </c>
      <c r="B14" s="88" t="s">
        <v>660</v>
      </c>
      <c r="C14" s="89">
        <f>SUM('Stavební rozpočet'!AB12:AB215)</f>
        <v>0</v>
      </c>
      <c r="D14" s="173" t="s">
        <v>661</v>
      </c>
      <c r="E14" s="174"/>
      <c r="F14" s="89">
        <f>VORN!I15</f>
        <v>0</v>
      </c>
      <c r="G14" s="173" t="s">
        <v>662</v>
      </c>
      <c r="H14" s="174"/>
      <c r="I14" s="90">
        <f>VORN!I21</f>
        <v>0</v>
      </c>
    </row>
    <row r="15" spans="1:9" ht="15.75">
      <c r="A15" s="91" t="s">
        <v>48</v>
      </c>
      <c r="B15" s="88" t="s">
        <v>663</v>
      </c>
      <c r="C15" s="89">
        <f>SUM('Stavební rozpočet'!AC12:AC215)</f>
        <v>0</v>
      </c>
      <c r="D15" s="173" t="s">
        <v>664</v>
      </c>
      <c r="E15" s="174"/>
      <c r="F15" s="89">
        <f>VORN!I16</f>
        <v>0</v>
      </c>
      <c r="G15" s="173" t="s">
        <v>665</v>
      </c>
      <c r="H15" s="174"/>
      <c r="I15" s="90">
        <f>VORN!I22</f>
        <v>0</v>
      </c>
    </row>
    <row r="16" spans="1:9" ht="15.75">
      <c r="A16" s="87" t="s">
        <v>666</v>
      </c>
      <c r="B16" s="88" t="s">
        <v>660</v>
      </c>
      <c r="C16" s="89">
        <f>SUM('Stavební rozpočet'!AD12:AD215)</f>
        <v>0</v>
      </c>
      <c r="D16" s="173" t="s">
        <v>667</v>
      </c>
      <c r="E16" s="174"/>
      <c r="F16" s="89">
        <f>VORN!I17</f>
        <v>0</v>
      </c>
      <c r="G16" s="173" t="s">
        <v>668</v>
      </c>
      <c r="H16" s="174"/>
      <c r="I16" s="90">
        <f>VORN!I23</f>
        <v>0</v>
      </c>
    </row>
    <row r="17" spans="1:9" ht="15.75">
      <c r="A17" s="91" t="s">
        <v>48</v>
      </c>
      <c r="B17" s="88" t="s">
        <v>663</v>
      </c>
      <c r="C17" s="89">
        <f>SUM('Stavební rozpočet'!AE12:AE215)</f>
        <v>0</v>
      </c>
      <c r="D17" s="173" t="s">
        <v>48</v>
      </c>
      <c r="E17" s="174"/>
      <c r="F17" s="90" t="s">
        <v>48</v>
      </c>
      <c r="G17" s="173" t="s">
        <v>669</v>
      </c>
      <c r="H17" s="174"/>
      <c r="I17" s="90">
        <f>VORN!I24</f>
        <v>0</v>
      </c>
    </row>
    <row r="18" spans="1:9" ht="15.75">
      <c r="A18" s="87" t="s">
        <v>670</v>
      </c>
      <c r="B18" s="88" t="s">
        <v>660</v>
      </c>
      <c r="C18" s="89">
        <f>SUM('Stavební rozpočet'!AF12:AF215)</f>
        <v>0</v>
      </c>
      <c r="D18" s="173" t="s">
        <v>48</v>
      </c>
      <c r="E18" s="174"/>
      <c r="F18" s="90" t="s">
        <v>48</v>
      </c>
      <c r="G18" s="173" t="s">
        <v>671</v>
      </c>
      <c r="H18" s="174"/>
      <c r="I18" s="90">
        <f>VORN!I25</f>
        <v>0</v>
      </c>
    </row>
    <row r="19" spans="1:9" ht="15.75">
      <c r="A19" s="91" t="s">
        <v>48</v>
      </c>
      <c r="B19" s="88" t="s">
        <v>663</v>
      </c>
      <c r="C19" s="89">
        <f>SUM('Stavební rozpočet'!AG12:AG215)</f>
        <v>0</v>
      </c>
      <c r="D19" s="173" t="s">
        <v>48</v>
      </c>
      <c r="E19" s="174"/>
      <c r="F19" s="90" t="s">
        <v>48</v>
      </c>
      <c r="G19" s="173" t="s">
        <v>672</v>
      </c>
      <c r="H19" s="174"/>
      <c r="I19" s="90">
        <f>VORN!I26</f>
        <v>0</v>
      </c>
    </row>
    <row r="20" spans="1:9" ht="15.75">
      <c r="A20" s="167" t="s">
        <v>673</v>
      </c>
      <c r="B20" s="168"/>
      <c r="C20" s="89">
        <f>SUM('Stavební rozpočet'!AH12:AH215)</f>
        <v>0</v>
      </c>
      <c r="D20" s="173" t="s">
        <v>48</v>
      </c>
      <c r="E20" s="174"/>
      <c r="F20" s="90" t="s">
        <v>48</v>
      </c>
      <c r="G20" s="173" t="s">
        <v>48</v>
      </c>
      <c r="H20" s="174"/>
      <c r="I20" s="90" t="s">
        <v>48</v>
      </c>
    </row>
    <row r="21" spans="1:9" ht="15.75">
      <c r="A21" s="169" t="s">
        <v>674</v>
      </c>
      <c r="B21" s="170"/>
      <c r="C21" s="92">
        <f>SUM('Stavební rozpočet'!Z12:Z215)</f>
        <v>0</v>
      </c>
      <c r="D21" s="175" t="s">
        <v>48</v>
      </c>
      <c r="E21" s="176"/>
      <c r="F21" s="93" t="s">
        <v>48</v>
      </c>
      <c r="G21" s="175" t="s">
        <v>48</v>
      </c>
      <c r="H21" s="176"/>
      <c r="I21" s="93" t="s">
        <v>48</v>
      </c>
    </row>
    <row r="22" spans="1:9" ht="16.5" customHeight="1">
      <c r="A22" s="171" t="s">
        <v>675</v>
      </c>
      <c r="B22" s="172"/>
      <c r="C22" s="94">
        <f>SUM(C14:C21)</f>
        <v>0</v>
      </c>
      <c r="D22" s="177" t="s">
        <v>676</v>
      </c>
      <c r="E22" s="172"/>
      <c r="F22" s="94">
        <f>SUM(F14:F21)</f>
        <v>0</v>
      </c>
      <c r="G22" s="177" t="s">
        <v>677</v>
      </c>
      <c r="H22" s="172"/>
      <c r="I22" s="94">
        <f>SUM(I14:I21)</f>
        <v>0</v>
      </c>
    </row>
    <row r="23" spans="4:9" ht="15.75">
      <c r="D23" s="167" t="s">
        <v>678</v>
      </c>
      <c r="E23" s="168"/>
      <c r="F23" s="95">
        <v>0</v>
      </c>
      <c r="G23" s="178" t="s">
        <v>679</v>
      </c>
      <c r="H23" s="168"/>
      <c r="I23" s="89">
        <v>0</v>
      </c>
    </row>
    <row r="24" spans="7:9" ht="15.75">
      <c r="G24" s="167" t="s">
        <v>680</v>
      </c>
      <c r="H24" s="168"/>
      <c r="I24" s="92">
        <f>vorn_sum</f>
        <v>0</v>
      </c>
    </row>
    <row r="25" spans="7:9" ht="15.75">
      <c r="G25" s="167" t="s">
        <v>681</v>
      </c>
      <c r="H25" s="168"/>
      <c r="I25" s="94">
        <v>0</v>
      </c>
    </row>
    <row r="27" spans="1:3" ht="15.75">
      <c r="A27" s="179" t="s">
        <v>682</v>
      </c>
      <c r="B27" s="180"/>
      <c r="C27" s="96">
        <f>SUM('Stavební rozpočet'!AJ12:AJ215)</f>
        <v>0</v>
      </c>
    </row>
    <row r="28" spans="1:9" ht="15.75">
      <c r="A28" s="181" t="s">
        <v>683</v>
      </c>
      <c r="B28" s="182"/>
      <c r="C28" s="97">
        <f>SUM('Stavební rozpočet'!AK12:AK215)</f>
        <v>0</v>
      </c>
      <c r="D28" s="183" t="s">
        <v>684</v>
      </c>
      <c r="E28" s="180"/>
      <c r="F28" s="96">
        <f>ROUND(C28*(12/100),2)</f>
        <v>0</v>
      </c>
      <c r="G28" s="183" t="s">
        <v>685</v>
      </c>
      <c r="H28" s="180"/>
      <c r="I28" s="96">
        <f>SUM(C27:C29)</f>
        <v>0</v>
      </c>
    </row>
    <row r="29" spans="1:9" ht="15.75">
      <c r="A29" s="181" t="s">
        <v>686</v>
      </c>
      <c r="B29" s="182"/>
      <c r="C29" s="97">
        <f>SUM('Stavební rozpočet'!AL12:AL215)+(F22+I22+F23+I23+I24+I25)</f>
        <v>0</v>
      </c>
      <c r="D29" s="184" t="s">
        <v>687</v>
      </c>
      <c r="E29" s="182"/>
      <c r="F29" s="97">
        <f>ROUND(C29*(21/100),2)</f>
        <v>0</v>
      </c>
      <c r="G29" s="184" t="s">
        <v>688</v>
      </c>
      <c r="H29" s="182"/>
      <c r="I29" s="97">
        <f>SUM(F28:F29)+I28</f>
        <v>0</v>
      </c>
    </row>
    <row r="31" spans="1:9" ht="15">
      <c r="A31" s="185" t="s">
        <v>689</v>
      </c>
      <c r="B31" s="186"/>
      <c r="C31" s="187"/>
      <c r="D31" s="194" t="s">
        <v>690</v>
      </c>
      <c r="E31" s="186"/>
      <c r="F31" s="187"/>
      <c r="G31" s="194" t="s">
        <v>691</v>
      </c>
      <c r="H31" s="186"/>
      <c r="I31" s="187"/>
    </row>
    <row r="32" spans="1:9" ht="15">
      <c r="A32" s="188" t="s">
        <v>48</v>
      </c>
      <c r="B32" s="189"/>
      <c r="C32" s="190"/>
      <c r="D32" s="195" t="s">
        <v>48</v>
      </c>
      <c r="E32" s="189"/>
      <c r="F32" s="190"/>
      <c r="G32" s="195" t="s">
        <v>48</v>
      </c>
      <c r="H32" s="189"/>
      <c r="I32" s="190"/>
    </row>
    <row r="33" spans="1:9" ht="15">
      <c r="A33" s="188" t="s">
        <v>48</v>
      </c>
      <c r="B33" s="189"/>
      <c r="C33" s="190"/>
      <c r="D33" s="195" t="s">
        <v>48</v>
      </c>
      <c r="E33" s="189"/>
      <c r="F33" s="190"/>
      <c r="G33" s="195" t="s">
        <v>48</v>
      </c>
      <c r="H33" s="189"/>
      <c r="I33" s="190"/>
    </row>
    <row r="34" spans="1:9" ht="15">
      <c r="A34" s="188" t="s">
        <v>48</v>
      </c>
      <c r="B34" s="189"/>
      <c r="C34" s="190"/>
      <c r="D34" s="195" t="s">
        <v>48</v>
      </c>
      <c r="E34" s="189"/>
      <c r="F34" s="190"/>
      <c r="G34" s="195" t="s">
        <v>48</v>
      </c>
      <c r="H34" s="189"/>
      <c r="I34" s="190"/>
    </row>
    <row r="35" spans="1:9" ht="15">
      <c r="A35" s="191" t="s">
        <v>692</v>
      </c>
      <c r="B35" s="192"/>
      <c r="C35" s="193"/>
      <c r="D35" s="196" t="s">
        <v>692</v>
      </c>
      <c r="E35" s="192"/>
      <c r="F35" s="193"/>
      <c r="G35" s="196" t="s">
        <v>692</v>
      </c>
      <c r="H35" s="192"/>
      <c r="I35" s="193"/>
    </row>
    <row r="36" ht="15">
      <c r="A36" s="98" t="s">
        <v>231</v>
      </c>
    </row>
    <row r="37" spans="1:9" ht="12.75" customHeight="1">
      <c r="A37" s="116" t="s">
        <v>48</v>
      </c>
      <c r="B37" s="111"/>
      <c r="C37" s="111"/>
      <c r="D37" s="111"/>
      <c r="E37" s="111"/>
      <c r="F37" s="111"/>
      <c r="G37" s="111"/>
      <c r="H37" s="111"/>
      <c r="I37" s="111"/>
    </row>
  </sheetData>
  <sheetProtection password="C665" sheet="1"/>
  <mergeCells count="83">
    <mergeCell ref="A37:I37"/>
    <mergeCell ref="G31:I31"/>
    <mergeCell ref="G32:I32"/>
    <mergeCell ref="G33:I33"/>
    <mergeCell ref="G34:I34"/>
    <mergeCell ref="G35:I35"/>
    <mergeCell ref="D31:F31"/>
    <mergeCell ref="D32:F32"/>
    <mergeCell ref="D33:F33"/>
    <mergeCell ref="D34:F34"/>
    <mergeCell ref="D35:F35"/>
    <mergeCell ref="A31:C31"/>
    <mergeCell ref="A32:C32"/>
    <mergeCell ref="A33:C33"/>
    <mergeCell ref="A34:C34"/>
    <mergeCell ref="A35:C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I10:I11"/>
    <mergeCell ref="A12:I12"/>
    <mergeCell ref="B13:C13"/>
    <mergeCell ref="E13:F13"/>
    <mergeCell ref="H13:I13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F2:G3"/>
    <mergeCell ref="F4:G5"/>
    <mergeCell ref="F6:G7"/>
    <mergeCell ref="F8:G9"/>
    <mergeCell ref="I2:I3"/>
    <mergeCell ref="I4:I5"/>
    <mergeCell ref="I6:I7"/>
    <mergeCell ref="I8:I9"/>
  </mergeCells>
  <printOptions/>
  <pageMargins left="0.393999993801117" right="0.393999993801117" top="0.591000020503998" bottom="0.591000020503998" header="0" footer="0"/>
  <pageSetup fitToHeight="1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"/>
  <sheetViews>
    <sheetView workbookViewId="0" topLeftCell="A1">
      <pane ySplit="11" topLeftCell="A12" activePane="bottomLeft" state="frozen"/>
      <selection pane="bottomLeft" activeCell="A17" sqref="A17:L17"/>
    </sheetView>
  </sheetViews>
  <sheetFormatPr defaultColWidth="12.140625" defaultRowHeight="15" customHeight="1"/>
  <cols>
    <col min="1" max="1" width="7.57421875" style="0" customWidth="1"/>
    <col min="2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107" t="s">
        <v>577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108" t="s">
        <v>1</v>
      </c>
      <c r="B2" s="109"/>
      <c r="C2" s="109"/>
      <c r="D2" s="117" t="str">
        <f>'Stavební rozpočet'!D2</f>
        <v>MŠ Hlubčická - oprava komunikačních ploch a oplocení</v>
      </c>
      <c r="E2" s="118"/>
      <c r="F2" s="118"/>
      <c r="G2" s="115" t="s">
        <v>3</v>
      </c>
      <c r="H2" s="115" t="str">
        <f>'Stavební rozpočet'!H2</f>
        <v xml:space="preserve"> </v>
      </c>
      <c r="I2" s="115" t="s">
        <v>5</v>
      </c>
      <c r="J2" s="115" t="str">
        <f>'Stavební rozpočet'!J2</f>
        <v>Město Krnov</v>
      </c>
      <c r="K2" s="109"/>
      <c r="L2" s="123"/>
    </row>
    <row r="3" spans="1:12" ht="15" customHeight="1">
      <c r="A3" s="110"/>
      <c r="B3" s="111"/>
      <c r="C3" s="111"/>
      <c r="D3" s="119"/>
      <c r="E3" s="119"/>
      <c r="F3" s="119"/>
      <c r="G3" s="111"/>
      <c r="H3" s="111"/>
      <c r="I3" s="111"/>
      <c r="J3" s="111"/>
      <c r="K3" s="111"/>
      <c r="L3" s="124"/>
    </row>
    <row r="4" spans="1:12" ht="15">
      <c r="A4" s="112" t="s">
        <v>7</v>
      </c>
      <c r="B4" s="111"/>
      <c r="C4" s="111"/>
      <c r="D4" s="116" t="str">
        <f>'Stavební rozpočet'!D4</f>
        <v xml:space="preserve"> </v>
      </c>
      <c r="E4" s="111"/>
      <c r="F4" s="111"/>
      <c r="G4" s="116" t="s">
        <v>8</v>
      </c>
      <c r="H4" s="116" t="str">
        <f>'Stavební rozpočet'!H4</f>
        <v xml:space="preserve"> </v>
      </c>
      <c r="I4" s="116" t="s">
        <v>9</v>
      </c>
      <c r="J4" s="116" t="str">
        <f>'Stavební rozpočet'!J4</f>
        <v>Radovan Zatloukal</v>
      </c>
      <c r="K4" s="111"/>
      <c r="L4" s="124"/>
    </row>
    <row r="5" spans="1:12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24"/>
    </row>
    <row r="6" spans="1:12" ht="15">
      <c r="A6" s="112" t="s">
        <v>11</v>
      </c>
      <c r="B6" s="111"/>
      <c r="C6" s="111"/>
      <c r="D6" s="116" t="str">
        <f>'Stavební rozpočet'!D6</f>
        <v>Hlubčická 398/89, 794 01 Krnov</v>
      </c>
      <c r="E6" s="111"/>
      <c r="F6" s="111"/>
      <c r="G6" s="116" t="s">
        <v>13</v>
      </c>
      <c r="H6" s="116" t="str">
        <f>'Stavební rozpočet'!H6</f>
        <v xml:space="preserve"> </v>
      </c>
      <c r="I6" s="116" t="s">
        <v>14</v>
      </c>
      <c r="J6" s="116" t="str">
        <f>'Stavební rozpočet'!J6</f>
        <v> </v>
      </c>
      <c r="K6" s="111"/>
      <c r="L6" s="124"/>
    </row>
    <row r="7" spans="1:12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24"/>
    </row>
    <row r="8" spans="1:12" ht="15">
      <c r="A8" s="112" t="s">
        <v>16</v>
      </c>
      <c r="B8" s="111"/>
      <c r="C8" s="111"/>
      <c r="D8" s="116" t="str">
        <f>'Stavební rozpočet'!D8</f>
        <v xml:space="preserve"> </v>
      </c>
      <c r="E8" s="111"/>
      <c r="F8" s="111"/>
      <c r="G8" s="116" t="s">
        <v>17</v>
      </c>
      <c r="H8" s="116" t="str">
        <f>'Stavební rozpočet'!H8</f>
        <v>15.04.2024</v>
      </c>
      <c r="I8" s="116" t="s">
        <v>19</v>
      </c>
      <c r="J8" s="116" t="str">
        <f>'Stavební rozpočet'!J8</f>
        <v> </v>
      </c>
      <c r="K8" s="111"/>
      <c r="L8" s="124"/>
    </row>
    <row r="9" spans="1:12" ht="1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49"/>
    </row>
    <row r="10" spans="1:12" ht="15">
      <c r="A10" s="60" t="s">
        <v>4</v>
      </c>
      <c r="B10" s="150" t="s">
        <v>4</v>
      </c>
      <c r="C10" s="151"/>
      <c r="D10" s="151"/>
      <c r="E10" s="151"/>
      <c r="F10" s="151"/>
      <c r="G10" s="151"/>
      <c r="H10" s="151"/>
      <c r="I10" s="151"/>
      <c r="J10" s="152"/>
      <c r="K10" s="9" t="s">
        <v>27</v>
      </c>
      <c r="L10" s="62" t="s">
        <v>28</v>
      </c>
    </row>
    <row r="11" spans="1:12" ht="15">
      <c r="A11" s="63" t="s">
        <v>21</v>
      </c>
      <c r="B11" s="129" t="s">
        <v>563</v>
      </c>
      <c r="C11" s="153"/>
      <c r="D11" s="153"/>
      <c r="E11" s="153"/>
      <c r="F11" s="153"/>
      <c r="G11" s="153"/>
      <c r="H11" s="153"/>
      <c r="I11" s="153"/>
      <c r="J11" s="130"/>
      <c r="K11" s="65" t="s">
        <v>34</v>
      </c>
      <c r="L11" s="66" t="s">
        <v>34</v>
      </c>
    </row>
    <row r="12" spans="1:16" ht="15">
      <c r="A12" s="67" t="s">
        <v>49</v>
      </c>
      <c r="B12" s="154" t="s">
        <v>50</v>
      </c>
      <c r="C12" s="154"/>
      <c r="D12" s="154"/>
      <c r="E12" s="154"/>
      <c r="F12" s="154"/>
      <c r="G12" s="154"/>
      <c r="H12" s="154"/>
      <c r="I12" s="154"/>
      <c r="J12" s="154"/>
      <c r="K12" s="69">
        <f>'Stavební rozpočet'!I12</f>
        <v>0</v>
      </c>
      <c r="L12" s="70">
        <f>'Stavební rozpočet'!K12</f>
        <v>352.3983345515</v>
      </c>
      <c r="M12" s="71" t="s">
        <v>564</v>
      </c>
      <c r="N12" s="30">
        <f>IF(M12="F",0,K12)</f>
        <v>0</v>
      </c>
      <c r="O12" s="3" t="s">
        <v>49</v>
      </c>
      <c r="P12" s="30">
        <f>IF(M12="T",0,K12)</f>
        <v>0</v>
      </c>
    </row>
    <row r="13" spans="1:16" ht="15">
      <c r="A13" s="2" t="s">
        <v>395</v>
      </c>
      <c r="B13" s="111" t="s">
        <v>396</v>
      </c>
      <c r="C13" s="111"/>
      <c r="D13" s="111"/>
      <c r="E13" s="111"/>
      <c r="F13" s="111"/>
      <c r="G13" s="111"/>
      <c r="H13" s="111"/>
      <c r="I13" s="111"/>
      <c r="J13" s="111"/>
      <c r="K13" s="30">
        <f>'Stavební rozpočet'!I131</f>
        <v>0</v>
      </c>
      <c r="L13" s="32">
        <f>'Stavební rozpočet'!K131</f>
        <v>362.02454</v>
      </c>
      <c r="M13" s="71" t="s">
        <v>564</v>
      </c>
      <c r="N13" s="30">
        <f>IF(M13="F",0,K13)</f>
        <v>0</v>
      </c>
      <c r="O13" s="3" t="s">
        <v>395</v>
      </c>
      <c r="P13" s="30">
        <f>IF(M13="T",0,K13)</f>
        <v>0</v>
      </c>
    </row>
    <row r="14" spans="1:16" ht="15">
      <c r="A14" s="53" t="s">
        <v>487</v>
      </c>
      <c r="B14" s="148" t="s">
        <v>488</v>
      </c>
      <c r="C14" s="148"/>
      <c r="D14" s="148"/>
      <c r="E14" s="148"/>
      <c r="F14" s="148"/>
      <c r="G14" s="148"/>
      <c r="H14" s="148"/>
      <c r="I14" s="148"/>
      <c r="J14" s="148"/>
      <c r="K14" s="55">
        <f>'Stavební rozpočet'!I190</f>
        <v>0</v>
      </c>
      <c r="L14" s="57">
        <f>'Stavební rozpočet'!K190</f>
        <v>0</v>
      </c>
      <c r="M14" s="71" t="s">
        <v>564</v>
      </c>
      <c r="N14" s="30">
        <f>IF(M14="F",0,K14)</f>
        <v>0</v>
      </c>
      <c r="O14" s="3" t="s">
        <v>487</v>
      </c>
      <c r="P14" s="30">
        <f>IF(M14="T",0,K14)</f>
        <v>0</v>
      </c>
    </row>
    <row r="15" spans="9:11" ht="15">
      <c r="I15" s="155" t="s">
        <v>576</v>
      </c>
      <c r="J15" s="155"/>
      <c r="K15" s="58">
        <f>SUM(P12:P14)</f>
        <v>0</v>
      </c>
    </row>
    <row r="16" ht="15">
      <c r="A16" s="59" t="s">
        <v>231</v>
      </c>
    </row>
    <row r="17" spans="1:12" ht="12.75" customHeight="1">
      <c r="A17" s="116" t="s">
        <v>48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</sheetData>
  <sheetProtection password="C665" sheet="1"/>
  <mergeCells count="32">
    <mergeCell ref="A17:L17"/>
    <mergeCell ref="B11:J11"/>
    <mergeCell ref="B12:J12"/>
    <mergeCell ref="B13:J13"/>
    <mergeCell ref="B14:J14"/>
    <mergeCell ref="I15:J15"/>
    <mergeCell ref="J2:L3"/>
    <mergeCell ref="J4:L5"/>
    <mergeCell ref="J6:L7"/>
    <mergeCell ref="J8:L9"/>
    <mergeCell ref="B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workbookViewId="0" topLeftCell="A1">
      <pane ySplit="11" topLeftCell="A12" activePane="bottomLeft" state="frozen"/>
      <selection pane="bottomLeft" activeCell="A34" sqref="A34:L34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107" t="s">
        <v>562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108" t="s">
        <v>1</v>
      </c>
      <c r="B2" s="109"/>
      <c r="C2" s="109"/>
      <c r="D2" s="117" t="str">
        <f>'Stavební rozpočet'!D2</f>
        <v>MŠ Hlubčická - oprava komunikačních ploch a oplocení</v>
      </c>
      <c r="E2" s="118"/>
      <c r="F2" s="118"/>
      <c r="G2" s="115" t="s">
        <v>3</v>
      </c>
      <c r="H2" s="115" t="str">
        <f>'Stavební rozpočet'!H2</f>
        <v xml:space="preserve"> </v>
      </c>
      <c r="I2" s="115" t="s">
        <v>5</v>
      </c>
      <c r="J2" s="115" t="str">
        <f>'Stavební rozpočet'!J2</f>
        <v>Město Krnov</v>
      </c>
      <c r="K2" s="109"/>
      <c r="L2" s="123"/>
    </row>
    <row r="3" spans="1:12" ht="15" customHeight="1">
      <c r="A3" s="110"/>
      <c r="B3" s="111"/>
      <c r="C3" s="111"/>
      <c r="D3" s="119"/>
      <c r="E3" s="119"/>
      <c r="F3" s="119"/>
      <c r="G3" s="111"/>
      <c r="H3" s="111"/>
      <c r="I3" s="111"/>
      <c r="J3" s="111"/>
      <c r="K3" s="111"/>
      <c r="L3" s="124"/>
    </row>
    <row r="4" spans="1:12" ht="15">
      <c r="A4" s="112" t="s">
        <v>7</v>
      </c>
      <c r="B4" s="111"/>
      <c r="C4" s="111"/>
      <c r="D4" s="116" t="str">
        <f>'Stavební rozpočet'!D4</f>
        <v xml:space="preserve"> </v>
      </c>
      <c r="E4" s="111"/>
      <c r="F4" s="111"/>
      <c r="G4" s="116" t="s">
        <v>8</v>
      </c>
      <c r="H4" s="116" t="str">
        <f>'Stavební rozpočet'!H4</f>
        <v xml:space="preserve"> </v>
      </c>
      <c r="I4" s="116" t="s">
        <v>9</v>
      </c>
      <c r="J4" s="116" t="str">
        <f>'Stavební rozpočet'!J4</f>
        <v>Radovan Zatloukal</v>
      </c>
      <c r="K4" s="111"/>
      <c r="L4" s="124"/>
    </row>
    <row r="5" spans="1:12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24"/>
    </row>
    <row r="6" spans="1:12" ht="15">
      <c r="A6" s="112" t="s">
        <v>11</v>
      </c>
      <c r="B6" s="111"/>
      <c r="C6" s="111"/>
      <c r="D6" s="116" t="str">
        <f>'Stavební rozpočet'!D6</f>
        <v>Hlubčická 398/89, 794 01 Krnov</v>
      </c>
      <c r="E6" s="111"/>
      <c r="F6" s="111"/>
      <c r="G6" s="116" t="s">
        <v>13</v>
      </c>
      <c r="H6" s="116" t="str">
        <f>'Stavební rozpočet'!H6</f>
        <v xml:space="preserve"> </v>
      </c>
      <c r="I6" s="116" t="s">
        <v>14</v>
      </c>
      <c r="J6" s="116" t="str">
        <f>'Stavební rozpočet'!J6</f>
        <v> </v>
      </c>
      <c r="K6" s="111"/>
      <c r="L6" s="124"/>
    </row>
    <row r="7" spans="1:12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24"/>
    </row>
    <row r="8" spans="1:12" ht="15">
      <c r="A8" s="112" t="s">
        <v>16</v>
      </c>
      <c r="B8" s="111"/>
      <c r="C8" s="111"/>
      <c r="D8" s="116" t="str">
        <f>'Stavební rozpočet'!D8</f>
        <v xml:space="preserve"> </v>
      </c>
      <c r="E8" s="111"/>
      <c r="F8" s="111"/>
      <c r="G8" s="116" t="s">
        <v>17</v>
      </c>
      <c r="H8" s="116" t="str">
        <f>'Stavební rozpočet'!H8</f>
        <v>15.04.2024</v>
      </c>
      <c r="I8" s="116" t="s">
        <v>19</v>
      </c>
      <c r="J8" s="116" t="str">
        <f>'Stavební rozpočet'!J8</f>
        <v> </v>
      </c>
      <c r="K8" s="111"/>
      <c r="L8" s="124"/>
    </row>
    <row r="9" spans="1:12" ht="1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49"/>
    </row>
    <row r="10" spans="1:12" ht="15">
      <c r="A10" s="60" t="s">
        <v>4</v>
      </c>
      <c r="B10" s="61" t="s">
        <v>4</v>
      </c>
      <c r="C10" s="150" t="s">
        <v>4</v>
      </c>
      <c r="D10" s="151"/>
      <c r="E10" s="151"/>
      <c r="F10" s="151"/>
      <c r="G10" s="151"/>
      <c r="H10" s="151"/>
      <c r="I10" s="151"/>
      <c r="J10" s="152"/>
      <c r="K10" s="9" t="s">
        <v>27</v>
      </c>
      <c r="L10" s="62" t="s">
        <v>28</v>
      </c>
    </row>
    <row r="11" spans="1:12" ht="15">
      <c r="A11" s="63" t="s">
        <v>21</v>
      </c>
      <c r="B11" s="64" t="s">
        <v>22</v>
      </c>
      <c r="C11" s="129" t="s">
        <v>563</v>
      </c>
      <c r="D11" s="153"/>
      <c r="E11" s="153"/>
      <c r="F11" s="153"/>
      <c r="G11" s="153"/>
      <c r="H11" s="153"/>
      <c r="I11" s="153"/>
      <c r="J11" s="130"/>
      <c r="K11" s="65" t="s">
        <v>34</v>
      </c>
      <c r="L11" s="66" t="s">
        <v>34</v>
      </c>
    </row>
    <row r="12" spans="1:16" ht="15">
      <c r="A12" s="67" t="s">
        <v>49</v>
      </c>
      <c r="B12" s="68" t="s">
        <v>48</v>
      </c>
      <c r="C12" s="154" t="s">
        <v>50</v>
      </c>
      <c r="D12" s="154"/>
      <c r="E12" s="154"/>
      <c r="F12" s="154"/>
      <c r="G12" s="154"/>
      <c r="H12" s="154"/>
      <c r="I12" s="154"/>
      <c r="J12" s="154"/>
      <c r="K12" s="69">
        <f>'Stavební rozpočet'!I12</f>
        <v>0</v>
      </c>
      <c r="L12" s="70">
        <f>'Stavební rozpočet'!K12</f>
        <v>352.3983345515</v>
      </c>
      <c r="M12" s="71" t="s">
        <v>564</v>
      </c>
      <c r="N12" s="30">
        <f aca="true" t="shared" si="0" ref="N12:N31">IF(M12="F",0,K12)</f>
        <v>0</v>
      </c>
      <c r="O12" s="3" t="s">
        <v>49</v>
      </c>
      <c r="P12" s="30">
        <f aca="true" t="shared" si="1" ref="P12:P31">IF(M12="T",0,K12)</f>
        <v>0</v>
      </c>
    </row>
    <row r="13" spans="1:16" ht="15">
      <c r="A13" s="2" t="s">
        <v>49</v>
      </c>
      <c r="B13" s="3" t="s">
        <v>53</v>
      </c>
      <c r="C13" s="111" t="s">
        <v>565</v>
      </c>
      <c r="D13" s="111"/>
      <c r="E13" s="111"/>
      <c r="F13" s="111"/>
      <c r="G13" s="111"/>
      <c r="H13" s="111"/>
      <c r="I13" s="111"/>
      <c r="J13" s="111"/>
      <c r="K13" s="30">
        <f>SUMIF('Stavební rozpočet'!AZ13:AZ215,"01_1_",'Stavební rozpočet'!AV13:AV215)</f>
        <v>0</v>
      </c>
      <c r="L13" s="32">
        <f>SUMIF('Stavební rozpočet'!AZ13:AZ215,"01_1_",'Stavební rozpočet'!BF13:BF215)</f>
        <v>143.24347440000003</v>
      </c>
      <c r="M13" s="71" t="s">
        <v>566</v>
      </c>
      <c r="N13" s="30">
        <f t="shared" si="0"/>
        <v>0</v>
      </c>
      <c r="O13" s="3" t="s">
        <v>49</v>
      </c>
      <c r="P13" s="30">
        <f t="shared" si="1"/>
        <v>0</v>
      </c>
    </row>
    <row r="14" spans="1:16" ht="15">
      <c r="A14" s="2" t="s">
        <v>49</v>
      </c>
      <c r="B14" s="3" t="s">
        <v>60</v>
      </c>
      <c r="C14" s="111" t="s">
        <v>567</v>
      </c>
      <c r="D14" s="111"/>
      <c r="E14" s="111"/>
      <c r="F14" s="111"/>
      <c r="G14" s="111"/>
      <c r="H14" s="111"/>
      <c r="I14" s="111"/>
      <c r="J14" s="111"/>
      <c r="K14" s="30">
        <f>SUMIF('Stavební rozpočet'!AZ13:AZ215,"01_2_",'Stavební rozpočet'!AV13:AV215)</f>
        <v>0</v>
      </c>
      <c r="L14" s="32">
        <f>SUMIF('Stavební rozpočet'!AZ13:AZ215,"01_2_",'Stavební rozpočet'!BF13:BF215)</f>
        <v>0.12115537499999998</v>
      </c>
      <c r="M14" s="71" t="s">
        <v>566</v>
      </c>
      <c r="N14" s="30">
        <f t="shared" si="0"/>
        <v>0</v>
      </c>
      <c r="O14" s="3" t="s">
        <v>49</v>
      </c>
      <c r="P14" s="30">
        <f t="shared" si="1"/>
        <v>0</v>
      </c>
    </row>
    <row r="15" spans="1:16" ht="15">
      <c r="A15" s="2" t="s">
        <v>49</v>
      </c>
      <c r="B15" s="3" t="s">
        <v>63</v>
      </c>
      <c r="C15" s="111" t="s">
        <v>568</v>
      </c>
      <c r="D15" s="111"/>
      <c r="E15" s="111"/>
      <c r="F15" s="111"/>
      <c r="G15" s="111"/>
      <c r="H15" s="111"/>
      <c r="I15" s="111"/>
      <c r="J15" s="111"/>
      <c r="K15" s="30">
        <f>SUMIF('Stavební rozpočet'!AZ13:AZ215,"01_3_",'Stavební rozpočet'!AV13:AV215)</f>
        <v>0</v>
      </c>
      <c r="L15" s="32">
        <f>SUMIF('Stavební rozpočet'!AZ13:AZ215,"01_3_",'Stavební rozpočet'!BF13:BF215)</f>
        <v>1.44375</v>
      </c>
      <c r="M15" s="71" t="s">
        <v>566</v>
      </c>
      <c r="N15" s="30">
        <f t="shared" si="0"/>
        <v>0</v>
      </c>
      <c r="O15" s="3" t="s">
        <v>49</v>
      </c>
      <c r="P15" s="30">
        <f t="shared" si="1"/>
        <v>0</v>
      </c>
    </row>
    <row r="16" spans="1:16" ht="15">
      <c r="A16" s="2" t="s">
        <v>49</v>
      </c>
      <c r="B16" s="3" t="s">
        <v>72</v>
      </c>
      <c r="C16" s="111" t="s">
        <v>569</v>
      </c>
      <c r="D16" s="111"/>
      <c r="E16" s="111"/>
      <c r="F16" s="111"/>
      <c r="G16" s="111"/>
      <c r="H16" s="111"/>
      <c r="I16" s="111"/>
      <c r="J16" s="111"/>
      <c r="K16" s="30">
        <f>SUMIF('Stavební rozpočet'!AZ13:AZ215,"01_5_",'Stavební rozpočet'!AV13:AV215)</f>
        <v>0</v>
      </c>
      <c r="L16" s="32">
        <f>SUMIF('Stavební rozpočet'!AZ13:AZ215,"01_5_",'Stavební rozpočet'!BF13:BF215)</f>
        <v>174.52117475</v>
      </c>
      <c r="M16" s="71" t="s">
        <v>566</v>
      </c>
      <c r="N16" s="30">
        <f t="shared" si="0"/>
        <v>0</v>
      </c>
      <c r="O16" s="3" t="s">
        <v>49</v>
      </c>
      <c r="P16" s="30">
        <f t="shared" si="1"/>
        <v>0</v>
      </c>
    </row>
    <row r="17" spans="1:16" ht="15">
      <c r="A17" s="2" t="s">
        <v>49</v>
      </c>
      <c r="B17" s="3" t="s">
        <v>77</v>
      </c>
      <c r="C17" s="111" t="s">
        <v>570</v>
      </c>
      <c r="D17" s="111"/>
      <c r="E17" s="111"/>
      <c r="F17" s="111"/>
      <c r="G17" s="111"/>
      <c r="H17" s="111"/>
      <c r="I17" s="111"/>
      <c r="J17" s="111"/>
      <c r="K17" s="30">
        <f>SUMIF('Stavební rozpočet'!AZ13:AZ215,"01_6_",'Stavební rozpočet'!AV13:AV215)</f>
        <v>0</v>
      </c>
      <c r="L17" s="32">
        <f>SUMIF('Stavební rozpočet'!AZ13:AZ215,"01_6_",'Stavební rozpočet'!BF13:BF215)</f>
        <v>7.704949999999999</v>
      </c>
      <c r="M17" s="71" t="s">
        <v>566</v>
      </c>
      <c r="N17" s="30">
        <f t="shared" si="0"/>
        <v>0</v>
      </c>
      <c r="O17" s="3" t="s">
        <v>49</v>
      </c>
      <c r="P17" s="30">
        <f t="shared" si="1"/>
        <v>0</v>
      </c>
    </row>
    <row r="18" spans="1:16" ht="15">
      <c r="A18" s="2" t="s">
        <v>49</v>
      </c>
      <c r="B18" s="3" t="s">
        <v>329</v>
      </c>
      <c r="C18" s="111" t="s">
        <v>571</v>
      </c>
      <c r="D18" s="111"/>
      <c r="E18" s="111"/>
      <c r="F18" s="111"/>
      <c r="G18" s="111"/>
      <c r="H18" s="111"/>
      <c r="I18" s="111"/>
      <c r="J18" s="111"/>
      <c r="K18" s="30">
        <f>SUMIF('Stavební rozpočet'!AZ13:AZ215,"01_71_",'Stavební rozpočet'!AV13:AV215)</f>
        <v>0</v>
      </c>
      <c r="L18" s="32">
        <f>SUMIF('Stavební rozpočet'!AZ13:AZ215,"01_71_",'Stavební rozpočet'!BF13:BF215)</f>
        <v>0.07522774</v>
      </c>
      <c r="M18" s="71" t="s">
        <v>566</v>
      </c>
      <c r="N18" s="30">
        <f t="shared" si="0"/>
        <v>0</v>
      </c>
      <c r="O18" s="3" t="s">
        <v>49</v>
      </c>
      <c r="P18" s="30">
        <f t="shared" si="1"/>
        <v>0</v>
      </c>
    </row>
    <row r="19" spans="1:16" ht="15">
      <c r="A19" s="2" t="s">
        <v>49</v>
      </c>
      <c r="B19" s="3" t="s">
        <v>333</v>
      </c>
      <c r="C19" s="111" t="s">
        <v>572</v>
      </c>
      <c r="D19" s="111"/>
      <c r="E19" s="111"/>
      <c r="F19" s="111"/>
      <c r="G19" s="111"/>
      <c r="H19" s="111"/>
      <c r="I19" s="111"/>
      <c r="J19" s="111"/>
      <c r="K19" s="30">
        <f>SUMIF('Stavební rozpočet'!AZ13:AZ215,"01_72_",'Stavební rozpočet'!AV13:AV215)</f>
        <v>0</v>
      </c>
      <c r="L19" s="32">
        <f>SUMIF('Stavební rozpočet'!AZ13:AZ215,"01_72_",'Stavební rozpočet'!BF13:BF215)</f>
        <v>0.21132</v>
      </c>
      <c r="M19" s="71" t="s">
        <v>566</v>
      </c>
      <c r="N19" s="30">
        <f t="shared" si="0"/>
        <v>0</v>
      </c>
      <c r="O19" s="3" t="s">
        <v>49</v>
      </c>
      <c r="P19" s="30">
        <f t="shared" si="1"/>
        <v>0</v>
      </c>
    </row>
    <row r="20" spans="1:16" ht="15">
      <c r="A20" s="2" t="s">
        <v>49</v>
      </c>
      <c r="B20" s="3" t="s">
        <v>346</v>
      </c>
      <c r="C20" s="111" t="s">
        <v>573</v>
      </c>
      <c r="D20" s="111"/>
      <c r="E20" s="111"/>
      <c r="F20" s="111"/>
      <c r="G20" s="111"/>
      <c r="H20" s="111"/>
      <c r="I20" s="111"/>
      <c r="J20" s="111"/>
      <c r="K20" s="30">
        <f>SUMIF('Stavební rozpočet'!AZ13:AZ215,"01_76_",'Stavební rozpočet'!AV13:AV215)</f>
        <v>0</v>
      </c>
      <c r="L20" s="32">
        <f>SUMIF('Stavební rozpočet'!AZ13:AZ215,"01_76_",'Stavební rozpočet'!BF13:BF215)</f>
        <v>0.04257</v>
      </c>
      <c r="M20" s="71" t="s">
        <v>566</v>
      </c>
      <c r="N20" s="30">
        <f t="shared" si="0"/>
        <v>0</v>
      </c>
      <c r="O20" s="3" t="s">
        <v>49</v>
      </c>
      <c r="P20" s="30">
        <f t="shared" si="1"/>
        <v>0</v>
      </c>
    </row>
    <row r="21" spans="1:16" ht="15">
      <c r="A21" s="2" t="s">
        <v>49</v>
      </c>
      <c r="B21" s="3" t="s">
        <v>349</v>
      </c>
      <c r="C21" s="111" t="s">
        <v>574</v>
      </c>
      <c r="D21" s="111"/>
      <c r="E21" s="111"/>
      <c r="F21" s="111"/>
      <c r="G21" s="111"/>
      <c r="H21" s="111"/>
      <c r="I21" s="111"/>
      <c r="J21" s="111"/>
      <c r="K21" s="30">
        <f>SUMIF('Stavební rozpočet'!AZ13:AZ215,"01_77_",'Stavební rozpočet'!AV13:AV215)</f>
        <v>0</v>
      </c>
      <c r="L21" s="32">
        <f>SUMIF('Stavební rozpočet'!AZ13:AZ215,"01_77_",'Stavební rozpočet'!BF13:BF215)</f>
        <v>0.9504242864999999</v>
      </c>
      <c r="M21" s="71" t="s">
        <v>566</v>
      </c>
      <c r="N21" s="30">
        <f t="shared" si="0"/>
        <v>0</v>
      </c>
      <c r="O21" s="3" t="s">
        <v>49</v>
      </c>
      <c r="P21" s="30">
        <f t="shared" si="1"/>
        <v>0</v>
      </c>
    </row>
    <row r="22" spans="1:16" ht="15">
      <c r="A22" s="2" t="s">
        <v>49</v>
      </c>
      <c r="B22" s="3" t="s">
        <v>88</v>
      </c>
      <c r="C22" s="111" t="s">
        <v>575</v>
      </c>
      <c r="D22" s="111"/>
      <c r="E22" s="111"/>
      <c r="F22" s="111"/>
      <c r="G22" s="111"/>
      <c r="H22" s="111"/>
      <c r="I22" s="111"/>
      <c r="J22" s="111"/>
      <c r="K22" s="30">
        <f>SUMIF('Stavební rozpočet'!AZ13:AZ215,"01_9_",'Stavební rozpočet'!AV13:AV215)</f>
        <v>0</v>
      </c>
      <c r="L22" s="32">
        <f>SUMIF('Stavební rozpočet'!AZ13:AZ215,"01_9_",'Stavební rozpočet'!BF13:BF215)</f>
        <v>24.084287999999997</v>
      </c>
      <c r="M22" s="71" t="s">
        <v>566</v>
      </c>
      <c r="N22" s="30">
        <f t="shared" si="0"/>
        <v>0</v>
      </c>
      <c r="O22" s="3" t="s">
        <v>49</v>
      </c>
      <c r="P22" s="30">
        <f t="shared" si="1"/>
        <v>0</v>
      </c>
    </row>
    <row r="23" spans="1:16" ht="15">
      <c r="A23" s="2" t="s">
        <v>395</v>
      </c>
      <c r="B23" s="3" t="s">
        <v>48</v>
      </c>
      <c r="C23" s="111" t="s">
        <v>396</v>
      </c>
      <c r="D23" s="111"/>
      <c r="E23" s="111"/>
      <c r="F23" s="111"/>
      <c r="G23" s="111"/>
      <c r="H23" s="111"/>
      <c r="I23" s="111"/>
      <c r="J23" s="111"/>
      <c r="K23" s="30">
        <f>'Stavební rozpočet'!I131</f>
        <v>0</v>
      </c>
      <c r="L23" s="32">
        <f>'Stavební rozpočet'!K131</f>
        <v>362.02454</v>
      </c>
      <c r="M23" s="71" t="s">
        <v>564</v>
      </c>
      <c r="N23" s="30">
        <f t="shared" si="0"/>
        <v>0</v>
      </c>
      <c r="O23" s="3" t="s">
        <v>395</v>
      </c>
      <c r="P23" s="30">
        <f t="shared" si="1"/>
        <v>0</v>
      </c>
    </row>
    <row r="24" spans="1:16" ht="15">
      <c r="A24" s="2" t="s">
        <v>395</v>
      </c>
      <c r="B24" s="3" t="s">
        <v>53</v>
      </c>
      <c r="C24" s="111" t="s">
        <v>565</v>
      </c>
      <c r="D24" s="111"/>
      <c r="E24" s="111"/>
      <c r="F24" s="111"/>
      <c r="G24" s="111"/>
      <c r="H24" s="111"/>
      <c r="I24" s="111"/>
      <c r="J24" s="111"/>
      <c r="K24" s="30">
        <f>SUMIF('Stavební rozpočet'!AZ13:AZ215,"02_1_",'Stavební rozpočet'!AV13:AV215)</f>
        <v>0</v>
      </c>
      <c r="L24" s="32">
        <f>SUMIF('Stavební rozpočet'!AZ13:AZ215,"02_1_",'Stavební rozpočet'!BF13:BF215)</f>
        <v>176.3864</v>
      </c>
      <c r="M24" s="71" t="s">
        <v>566</v>
      </c>
      <c r="N24" s="30">
        <f t="shared" si="0"/>
        <v>0</v>
      </c>
      <c r="O24" s="3" t="s">
        <v>395</v>
      </c>
      <c r="P24" s="30">
        <f t="shared" si="1"/>
        <v>0</v>
      </c>
    </row>
    <row r="25" spans="1:16" ht="15">
      <c r="A25" s="2" t="s">
        <v>395</v>
      </c>
      <c r="B25" s="3" t="s">
        <v>60</v>
      </c>
      <c r="C25" s="111" t="s">
        <v>567</v>
      </c>
      <c r="D25" s="111"/>
      <c r="E25" s="111"/>
      <c r="F25" s="111"/>
      <c r="G25" s="111"/>
      <c r="H25" s="111"/>
      <c r="I25" s="111"/>
      <c r="J25" s="111"/>
      <c r="K25" s="30">
        <f>SUMIF('Stavební rozpočet'!AZ13:AZ215,"02_2_",'Stavební rozpočet'!AV13:AV215)</f>
        <v>0</v>
      </c>
      <c r="L25" s="32">
        <f>SUMIF('Stavební rozpočet'!AZ13:AZ215,"02_2_",'Stavební rozpočet'!BF13:BF215)</f>
        <v>0.138</v>
      </c>
      <c r="M25" s="71" t="s">
        <v>566</v>
      </c>
      <c r="N25" s="30">
        <f t="shared" si="0"/>
        <v>0</v>
      </c>
      <c r="O25" s="3" t="s">
        <v>395</v>
      </c>
      <c r="P25" s="30">
        <f t="shared" si="1"/>
        <v>0</v>
      </c>
    </row>
    <row r="26" spans="1:16" ht="15">
      <c r="A26" s="2" t="s">
        <v>395</v>
      </c>
      <c r="B26" s="3" t="s">
        <v>63</v>
      </c>
      <c r="C26" s="111" t="s">
        <v>568</v>
      </c>
      <c r="D26" s="111"/>
      <c r="E26" s="111"/>
      <c r="F26" s="111"/>
      <c r="G26" s="111"/>
      <c r="H26" s="111"/>
      <c r="I26" s="111"/>
      <c r="J26" s="111"/>
      <c r="K26" s="30">
        <f>SUMIF('Stavební rozpočet'!AZ13:AZ215,"02_3_",'Stavební rozpočet'!AV13:AV215)</f>
        <v>0</v>
      </c>
      <c r="L26" s="32">
        <f>SUMIF('Stavební rozpočet'!AZ13:AZ215,"02_3_",'Stavební rozpočet'!BF13:BF215)</f>
        <v>4.0167600000000006</v>
      </c>
      <c r="M26" s="71" t="s">
        <v>566</v>
      </c>
      <c r="N26" s="30">
        <f t="shared" si="0"/>
        <v>0</v>
      </c>
      <c r="O26" s="3" t="s">
        <v>395</v>
      </c>
      <c r="P26" s="30">
        <f t="shared" si="1"/>
        <v>0</v>
      </c>
    </row>
    <row r="27" spans="1:16" ht="15">
      <c r="A27" s="2" t="s">
        <v>395</v>
      </c>
      <c r="B27" s="3" t="s">
        <v>72</v>
      </c>
      <c r="C27" s="111" t="s">
        <v>569</v>
      </c>
      <c r="D27" s="111"/>
      <c r="E27" s="111"/>
      <c r="F27" s="111"/>
      <c r="G27" s="111"/>
      <c r="H27" s="111"/>
      <c r="I27" s="111"/>
      <c r="J27" s="111"/>
      <c r="K27" s="30">
        <f>SUMIF('Stavební rozpočet'!AZ13:AZ215,"02_5_",'Stavební rozpočet'!AV13:AV215)</f>
        <v>0</v>
      </c>
      <c r="L27" s="32">
        <f>SUMIF('Stavební rozpočet'!AZ13:AZ215,"02_5_",'Stavební rozpočet'!BF13:BF215)</f>
        <v>176.4</v>
      </c>
      <c r="M27" s="71" t="s">
        <v>566</v>
      </c>
      <c r="N27" s="30">
        <f t="shared" si="0"/>
        <v>0</v>
      </c>
      <c r="O27" s="3" t="s">
        <v>395</v>
      </c>
      <c r="P27" s="30">
        <f t="shared" si="1"/>
        <v>0</v>
      </c>
    </row>
    <row r="28" spans="1:16" ht="15">
      <c r="A28" s="2" t="s">
        <v>395</v>
      </c>
      <c r="B28" s="3" t="s">
        <v>346</v>
      </c>
      <c r="C28" s="111" t="s">
        <v>573</v>
      </c>
      <c r="D28" s="111"/>
      <c r="E28" s="111"/>
      <c r="F28" s="111"/>
      <c r="G28" s="111"/>
      <c r="H28" s="111"/>
      <c r="I28" s="111"/>
      <c r="J28" s="111"/>
      <c r="K28" s="30">
        <f>SUMIF('Stavební rozpočet'!AZ13:AZ215,"02_76_",'Stavební rozpočet'!AV13:AV215)</f>
        <v>0</v>
      </c>
      <c r="L28" s="32">
        <f>SUMIF('Stavební rozpočet'!AZ13:AZ215,"02_76_",'Stavební rozpočet'!BF13:BF215)</f>
        <v>4.1833800000000005</v>
      </c>
      <c r="M28" s="71" t="s">
        <v>566</v>
      </c>
      <c r="N28" s="30">
        <f t="shared" si="0"/>
        <v>0</v>
      </c>
      <c r="O28" s="3" t="s">
        <v>395</v>
      </c>
      <c r="P28" s="30">
        <f t="shared" si="1"/>
        <v>0</v>
      </c>
    </row>
    <row r="29" spans="1:16" ht="15">
      <c r="A29" s="2" t="s">
        <v>395</v>
      </c>
      <c r="B29" s="3" t="s">
        <v>88</v>
      </c>
      <c r="C29" s="111" t="s">
        <v>575</v>
      </c>
      <c r="D29" s="111"/>
      <c r="E29" s="111"/>
      <c r="F29" s="111"/>
      <c r="G29" s="111"/>
      <c r="H29" s="111"/>
      <c r="I29" s="111"/>
      <c r="J29" s="111"/>
      <c r="K29" s="30">
        <f>SUMIF('Stavební rozpočet'!AZ13:AZ215,"02_9_",'Stavební rozpočet'!AV13:AV215)</f>
        <v>0</v>
      </c>
      <c r="L29" s="32">
        <f>SUMIF('Stavební rozpočet'!AZ13:AZ215,"02_9_",'Stavební rozpočet'!BF13:BF215)</f>
        <v>0.9</v>
      </c>
      <c r="M29" s="71" t="s">
        <v>566</v>
      </c>
      <c r="N29" s="30">
        <f t="shared" si="0"/>
        <v>0</v>
      </c>
      <c r="O29" s="3" t="s">
        <v>395</v>
      </c>
      <c r="P29" s="30">
        <f t="shared" si="1"/>
        <v>0</v>
      </c>
    </row>
    <row r="30" spans="1:16" ht="15">
      <c r="A30" s="2" t="s">
        <v>487</v>
      </c>
      <c r="B30" s="3" t="s">
        <v>48</v>
      </c>
      <c r="C30" s="111" t="s">
        <v>488</v>
      </c>
      <c r="D30" s="111"/>
      <c r="E30" s="111"/>
      <c r="F30" s="111"/>
      <c r="G30" s="111"/>
      <c r="H30" s="111"/>
      <c r="I30" s="111"/>
      <c r="J30" s="111"/>
      <c r="K30" s="30">
        <f>'Stavební rozpočet'!I190</f>
        <v>0</v>
      </c>
      <c r="L30" s="32">
        <f>'Stavební rozpočet'!K190</f>
        <v>0</v>
      </c>
      <c r="M30" s="71" t="s">
        <v>564</v>
      </c>
      <c r="N30" s="30">
        <f t="shared" si="0"/>
        <v>0</v>
      </c>
      <c r="O30" s="3" t="s">
        <v>487</v>
      </c>
      <c r="P30" s="30">
        <f t="shared" si="1"/>
        <v>0</v>
      </c>
    </row>
    <row r="31" spans="1:16" ht="15">
      <c r="A31" s="53" t="s">
        <v>487</v>
      </c>
      <c r="B31" s="54" t="s">
        <v>53</v>
      </c>
      <c r="C31" s="148" t="s">
        <v>565</v>
      </c>
      <c r="D31" s="148"/>
      <c r="E31" s="148"/>
      <c r="F31" s="148"/>
      <c r="G31" s="148"/>
      <c r="H31" s="148"/>
      <c r="I31" s="148"/>
      <c r="J31" s="148"/>
      <c r="K31" s="55">
        <f>SUMIF('Stavební rozpočet'!AZ13:AZ215,"03_1_",'Stavební rozpočet'!AV13:AV215)</f>
        <v>0</v>
      </c>
      <c r="L31" s="57">
        <f>SUMIF('Stavební rozpočet'!AZ13:AZ215,"03_1_",'Stavební rozpočet'!BF13:BF215)</f>
        <v>0</v>
      </c>
      <c r="M31" s="71" t="s">
        <v>566</v>
      </c>
      <c r="N31" s="30">
        <f t="shared" si="0"/>
        <v>0</v>
      </c>
      <c r="O31" s="3" t="s">
        <v>487</v>
      </c>
      <c r="P31" s="30">
        <f t="shared" si="1"/>
        <v>0</v>
      </c>
    </row>
    <row r="32" spans="9:11" ht="15">
      <c r="I32" s="155" t="s">
        <v>576</v>
      </c>
      <c r="J32" s="155"/>
      <c r="K32" s="58">
        <f>SUM(N12:N31)</f>
        <v>0</v>
      </c>
    </row>
    <row r="33" ht="15">
      <c r="A33" s="59" t="s">
        <v>231</v>
      </c>
    </row>
    <row r="34" spans="1:12" ht="12.75" customHeight="1">
      <c r="A34" s="116" t="s">
        <v>48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</sheetData>
  <sheetProtection password="C665" sheet="1"/>
  <mergeCells count="49">
    <mergeCell ref="C31:J31"/>
    <mergeCell ref="I32:J32"/>
    <mergeCell ref="A34:L34"/>
    <mergeCell ref="C26:J26"/>
    <mergeCell ref="C27:J27"/>
    <mergeCell ref="C28:J28"/>
    <mergeCell ref="C29:J29"/>
    <mergeCell ref="C30:J30"/>
    <mergeCell ref="C21:J21"/>
    <mergeCell ref="C22:J22"/>
    <mergeCell ref="C23:J23"/>
    <mergeCell ref="C24:J24"/>
    <mergeCell ref="C25:J25"/>
    <mergeCell ref="C16:J16"/>
    <mergeCell ref="C17:J17"/>
    <mergeCell ref="C18:J18"/>
    <mergeCell ref="C19:J19"/>
    <mergeCell ref="C20:J20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2"/>
  <sheetViews>
    <sheetView workbookViewId="0" topLeftCell="A1">
      <selection activeCell="A282" sqref="A282:G282"/>
    </sheetView>
  </sheetViews>
  <sheetFormatPr defaultColWidth="12.140625" defaultRowHeight="15" customHeight="1"/>
  <cols>
    <col min="1" max="2" width="9.140625" style="0" customWidth="1"/>
    <col min="3" max="3" width="14.28125" style="0" customWidth="1"/>
    <col min="4" max="4" width="92.57421875" style="0" customWidth="1"/>
    <col min="5" max="5" width="43.57421875" style="0" customWidth="1"/>
    <col min="6" max="6" width="24.140625" style="0" customWidth="1"/>
    <col min="7" max="7" width="15.7109375" style="0" customWidth="1"/>
    <col min="8" max="8" width="20.00390625" style="0" customWidth="1"/>
  </cols>
  <sheetData>
    <row r="1" spans="1:8" ht="54.75" customHeight="1">
      <c r="A1" s="107" t="s">
        <v>578</v>
      </c>
      <c r="B1" s="107"/>
      <c r="C1" s="107"/>
      <c r="D1" s="107"/>
      <c r="E1" s="107"/>
      <c r="F1" s="107"/>
      <c r="G1" s="107"/>
      <c r="H1" s="107"/>
    </row>
    <row r="2" spans="1:8" ht="15">
      <c r="A2" s="108" t="s">
        <v>1</v>
      </c>
      <c r="B2" s="109"/>
      <c r="C2" s="117" t="str">
        <f>'Stavební rozpočet'!D2</f>
        <v>MŠ Hlubčická - oprava komunikačních ploch a oplocení</v>
      </c>
      <c r="D2" s="118"/>
      <c r="E2" s="115" t="s">
        <v>5</v>
      </c>
      <c r="F2" s="115" t="str">
        <f>'Stavební rozpočet'!J2</f>
        <v>Město Krnov</v>
      </c>
      <c r="G2" s="109"/>
      <c r="H2" s="123"/>
    </row>
    <row r="3" spans="1:8" ht="15" customHeight="1">
      <c r="A3" s="110"/>
      <c r="B3" s="111"/>
      <c r="C3" s="119"/>
      <c r="D3" s="119"/>
      <c r="E3" s="111"/>
      <c r="F3" s="111"/>
      <c r="G3" s="111"/>
      <c r="H3" s="124"/>
    </row>
    <row r="4" spans="1:8" ht="15">
      <c r="A4" s="112" t="s">
        <v>7</v>
      </c>
      <c r="B4" s="111"/>
      <c r="C4" s="116" t="str">
        <f>'Stavební rozpočet'!D4</f>
        <v xml:space="preserve"> </v>
      </c>
      <c r="D4" s="111"/>
      <c r="E4" s="116" t="s">
        <v>9</v>
      </c>
      <c r="F4" s="116" t="str">
        <f>'Stavební rozpočet'!J4</f>
        <v>Radovan Zatloukal</v>
      </c>
      <c r="G4" s="111"/>
      <c r="H4" s="124"/>
    </row>
    <row r="5" spans="1:8" ht="15" customHeight="1">
      <c r="A5" s="110"/>
      <c r="B5" s="111"/>
      <c r="C5" s="111"/>
      <c r="D5" s="111"/>
      <c r="E5" s="111"/>
      <c r="F5" s="111"/>
      <c r="G5" s="111"/>
      <c r="H5" s="124"/>
    </row>
    <row r="6" spans="1:8" ht="15">
      <c r="A6" s="112" t="s">
        <v>11</v>
      </c>
      <c r="B6" s="111"/>
      <c r="C6" s="116" t="str">
        <f>'Stavební rozpočet'!D6</f>
        <v>Hlubčická 398/89, 794 01 Krnov</v>
      </c>
      <c r="D6" s="111"/>
      <c r="E6" s="116" t="s">
        <v>14</v>
      </c>
      <c r="F6" s="116" t="str">
        <f>'Stavební rozpočet'!J6</f>
        <v> </v>
      </c>
      <c r="G6" s="111"/>
      <c r="H6" s="124"/>
    </row>
    <row r="7" spans="1:8" ht="15" customHeight="1">
      <c r="A7" s="110"/>
      <c r="B7" s="111"/>
      <c r="C7" s="111"/>
      <c r="D7" s="111"/>
      <c r="E7" s="111"/>
      <c r="F7" s="111"/>
      <c r="G7" s="111"/>
      <c r="H7" s="124"/>
    </row>
    <row r="8" spans="1:8" ht="15">
      <c r="A8" s="112" t="s">
        <v>19</v>
      </c>
      <c r="B8" s="111"/>
      <c r="C8" s="116" t="str">
        <f>'Stavební rozpočet'!J8</f>
        <v> </v>
      </c>
      <c r="D8" s="111"/>
      <c r="E8" s="116" t="s">
        <v>17</v>
      </c>
      <c r="F8" s="116" t="str">
        <f>'Stavební rozpočet'!H8</f>
        <v>15.04.2024</v>
      </c>
      <c r="G8" s="111"/>
      <c r="H8" s="124"/>
    </row>
    <row r="9" spans="1:8" ht="15">
      <c r="A9" s="113"/>
      <c r="B9" s="114"/>
      <c r="C9" s="114"/>
      <c r="D9" s="114"/>
      <c r="E9" s="114"/>
      <c r="F9" s="114"/>
      <c r="G9" s="114"/>
      <c r="H9" s="149"/>
    </row>
    <row r="10" spans="1:8" ht="15">
      <c r="A10" s="72" t="s">
        <v>20</v>
      </c>
      <c r="B10" s="73" t="s">
        <v>21</v>
      </c>
      <c r="C10" s="73" t="s">
        <v>22</v>
      </c>
      <c r="D10" s="156" t="s">
        <v>23</v>
      </c>
      <c r="E10" s="157"/>
      <c r="F10" s="73" t="s">
        <v>24</v>
      </c>
      <c r="G10" s="74" t="s">
        <v>25</v>
      </c>
      <c r="H10" s="75" t="s">
        <v>579</v>
      </c>
    </row>
    <row r="11" spans="1:8" ht="15">
      <c r="A11" s="76" t="s">
        <v>48</v>
      </c>
      <c r="B11" s="19" t="s">
        <v>49</v>
      </c>
      <c r="C11" s="19" t="s">
        <v>48</v>
      </c>
      <c r="D11" s="134" t="s">
        <v>50</v>
      </c>
      <c r="E11" s="134"/>
      <c r="F11" s="19" t="s">
        <v>48</v>
      </c>
      <c r="G11" s="23" t="s">
        <v>48</v>
      </c>
      <c r="H11" s="77" t="s">
        <v>48</v>
      </c>
    </row>
    <row r="12" spans="1:8" ht="15">
      <c r="A12" s="78" t="s">
        <v>48</v>
      </c>
      <c r="B12" s="26" t="s">
        <v>49</v>
      </c>
      <c r="C12" s="26" t="s">
        <v>51</v>
      </c>
      <c r="D12" s="136" t="s">
        <v>52</v>
      </c>
      <c r="E12" s="136"/>
      <c r="F12" s="26" t="s">
        <v>48</v>
      </c>
      <c r="G12" s="10" t="s">
        <v>48</v>
      </c>
      <c r="H12" s="79" t="s">
        <v>48</v>
      </c>
    </row>
    <row r="13" spans="1:8" ht="15">
      <c r="A13" s="2" t="s">
        <v>53</v>
      </c>
      <c r="B13" s="3" t="s">
        <v>49</v>
      </c>
      <c r="C13" s="3" t="s">
        <v>54</v>
      </c>
      <c r="D13" s="111" t="s">
        <v>55</v>
      </c>
      <c r="E13" s="111"/>
      <c r="F13" s="3" t="s">
        <v>56</v>
      </c>
      <c r="G13" s="30">
        <v>33</v>
      </c>
      <c r="H13" s="32">
        <v>0</v>
      </c>
    </row>
    <row r="14" spans="1:8" ht="15">
      <c r="A14" s="34"/>
      <c r="D14" s="80" t="s">
        <v>63</v>
      </c>
      <c r="E14" s="158" t="s">
        <v>48</v>
      </c>
      <c r="F14" s="158"/>
      <c r="G14" s="81">
        <v>3</v>
      </c>
      <c r="H14" s="82"/>
    </row>
    <row r="15" spans="1:8" ht="15">
      <c r="A15" s="2" t="s">
        <v>48</v>
      </c>
      <c r="B15" s="3" t="s">
        <v>48</v>
      </c>
      <c r="C15" s="3" t="s">
        <v>48</v>
      </c>
      <c r="D15" s="80" t="s">
        <v>158</v>
      </c>
      <c r="E15" s="158" t="s">
        <v>48</v>
      </c>
      <c r="F15" s="158"/>
      <c r="G15" s="81">
        <v>30</v>
      </c>
      <c r="H15" s="83" t="s">
        <v>48</v>
      </c>
    </row>
    <row r="16" spans="1:8" ht="15">
      <c r="A16" s="2" t="s">
        <v>60</v>
      </c>
      <c r="B16" s="3" t="s">
        <v>49</v>
      </c>
      <c r="C16" s="3" t="s">
        <v>61</v>
      </c>
      <c r="D16" s="111" t="s">
        <v>62</v>
      </c>
      <c r="E16" s="111"/>
      <c r="F16" s="3" t="s">
        <v>56</v>
      </c>
      <c r="G16" s="30">
        <v>162.8</v>
      </c>
      <c r="H16" s="32">
        <v>0</v>
      </c>
    </row>
    <row r="17" spans="1:8" ht="15">
      <c r="A17" s="34"/>
      <c r="D17" s="80" t="s">
        <v>53</v>
      </c>
      <c r="E17" s="158" t="s">
        <v>580</v>
      </c>
      <c r="F17" s="158"/>
      <c r="G17" s="81">
        <v>1</v>
      </c>
      <c r="H17" s="82"/>
    </row>
    <row r="18" spans="1:8" ht="15">
      <c r="A18" s="2" t="s">
        <v>48</v>
      </c>
      <c r="B18" s="3" t="s">
        <v>48</v>
      </c>
      <c r="C18" s="3" t="s">
        <v>48</v>
      </c>
      <c r="D18" s="80" t="s">
        <v>581</v>
      </c>
      <c r="E18" s="158" t="s">
        <v>582</v>
      </c>
      <c r="F18" s="158"/>
      <c r="G18" s="81">
        <v>151</v>
      </c>
      <c r="H18" s="83" t="s">
        <v>48</v>
      </c>
    </row>
    <row r="19" spans="1:8" ht="15">
      <c r="A19" s="2" t="s">
        <v>48</v>
      </c>
      <c r="B19" s="3" t="s">
        <v>48</v>
      </c>
      <c r="C19" s="3" t="s">
        <v>48</v>
      </c>
      <c r="D19" s="80" t="s">
        <v>583</v>
      </c>
      <c r="E19" s="158" t="s">
        <v>584</v>
      </c>
      <c r="F19" s="158"/>
      <c r="G19" s="81">
        <v>3</v>
      </c>
      <c r="H19" s="83" t="s">
        <v>48</v>
      </c>
    </row>
    <row r="20" spans="1:8" ht="15">
      <c r="A20" s="2" t="s">
        <v>48</v>
      </c>
      <c r="B20" s="3" t="s">
        <v>48</v>
      </c>
      <c r="C20" s="3" t="s">
        <v>48</v>
      </c>
      <c r="D20" s="80" t="s">
        <v>585</v>
      </c>
      <c r="E20" s="158" t="s">
        <v>584</v>
      </c>
      <c r="F20" s="158"/>
      <c r="G20" s="81">
        <v>4.8</v>
      </c>
      <c r="H20" s="83" t="s">
        <v>48</v>
      </c>
    </row>
    <row r="21" spans="1:8" ht="15">
      <c r="A21" s="2" t="s">
        <v>48</v>
      </c>
      <c r="B21" s="3" t="s">
        <v>48</v>
      </c>
      <c r="C21" s="3" t="s">
        <v>48</v>
      </c>
      <c r="D21" s="80" t="s">
        <v>583</v>
      </c>
      <c r="E21" s="158" t="s">
        <v>584</v>
      </c>
      <c r="F21" s="158"/>
      <c r="G21" s="81">
        <v>3</v>
      </c>
      <c r="H21" s="83" t="s">
        <v>48</v>
      </c>
    </row>
    <row r="22" spans="1:8" ht="15">
      <c r="A22" s="2" t="s">
        <v>63</v>
      </c>
      <c r="B22" s="3" t="s">
        <v>49</v>
      </c>
      <c r="C22" s="3" t="s">
        <v>64</v>
      </c>
      <c r="D22" s="111" t="s">
        <v>65</v>
      </c>
      <c r="E22" s="111"/>
      <c r="F22" s="3" t="s">
        <v>56</v>
      </c>
      <c r="G22" s="30">
        <v>151</v>
      </c>
      <c r="H22" s="32">
        <v>0</v>
      </c>
    </row>
    <row r="23" spans="1:8" ht="15">
      <c r="A23" s="34"/>
      <c r="D23" s="80" t="s">
        <v>581</v>
      </c>
      <c r="E23" s="158" t="s">
        <v>48</v>
      </c>
      <c r="F23" s="158"/>
      <c r="G23" s="81">
        <v>151</v>
      </c>
      <c r="H23" s="82"/>
    </row>
    <row r="24" spans="1:8" ht="15">
      <c r="A24" s="2" t="s">
        <v>66</v>
      </c>
      <c r="B24" s="3" t="s">
        <v>49</v>
      </c>
      <c r="C24" s="3" t="s">
        <v>67</v>
      </c>
      <c r="D24" s="111" t="s">
        <v>68</v>
      </c>
      <c r="E24" s="111"/>
      <c r="F24" s="3" t="s">
        <v>69</v>
      </c>
      <c r="G24" s="30">
        <v>171</v>
      </c>
      <c r="H24" s="32">
        <v>0</v>
      </c>
    </row>
    <row r="25" spans="1:8" ht="15">
      <c r="A25" s="78" t="s">
        <v>48</v>
      </c>
      <c r="B25" s="26" t="s">
        <v>49</v>
      </c>
      <c r="C25" s="26" t="s">
        <v>70</v>
      </c>
      <c r="D25" s="136" t="s">
        <v>71</v>
      </c>
      <c r="E25" s="136"/>
      <c r="F25" s="26" t="s">
        <v>48</v>
      </c>
      <c r="G25" s="10" t="s">
        <v>48</v>
      </c>
      <c r="H25" s="79" t="s">
        <v>48</v>
      </c>
    </row>
    <row r="26" spans="1:8" ht="15">
      <c r="A26" s="2" t="s">
        <v>72</v>
      </c>
      <c r="B26" s="3" t="s">
        <v>49</v>
      </c>
      <c r="C26" s="3" t="s">
        <v>73</v>
      </c>
      <c r="D26" s="111" t="s">
        <v>74</v>
      </c>
      <c r="E26" s="111"/>
      <c r="F26" s="3" t="s">
        <v>75</v>
      </c>
      <c r="G26" s="30">
        <v>20.86</v>
      </c>
      <c r="H26" s="32">
        <v>0</v>
      </c>
    </row>
    <row r="27" spans="1:8" ht="15">
      <c r="A27" s="34"/>
      <c r="D27" s="80" t="s">
        <v>586</v>
      </c>
      <c r="E27" s="158" t="s">
        <v>48</v>
      </c>
      <c r="F27" s="158"/>
      <c r="G27" s="81">
        <v>20.86</v>
      </c>
      <c r="H27" s="82"/>
    </row>
    <row r="28" spans="1:8" ht="15">
      <c r="A28" s="2" t="s">
        <v>77</v>
      </c>
      <c r="B28" s="3" t="s">
        <v>49</v>
      </c>
      <c r="C28" s="3" t="s">
        <v>78</v>
      </c>
      <c r="D28" s="111" t="s">
        <v>79</v>
      </c>
      <c r="E28" s="111"/>
      <c r="F28" s="3" t="s">
        <v>75</v>
      </c>
      <c r="G28" s="30">
        <v>204.4</v>
      </c>
      <c r="H28" s="32">
        <v>0</v>
      </c>
    </row>
    <row r="29" spans="1:8" ht="15">
      <c r="A29" s="2" t="s">
        <v>80</v>
      </c>
      <c r="B29" s="3" t="s">
        <v>49</v>
      </c>
      <c r="C29" s="3" t="s">
        <v>81</v>
      </c>
      <c r="D29" s="111" t="s">
        <v>82</v>
      </c>
      <c r="E29" s="111"/>
      <c r="F29" s="3" t="s">
        <v>75</v>
      </c>
      <c r="G29" s="30">
        <v>204.4</v>
      </c>
      <c r="H29" s="32">
        <v>0</v>
      </c>
    </row>
    <row r="30" spans="1:8" ht="15">
      <c r="A30" s="2" t="s">
        <v>83</v>
      </c>
      <c r="B30" s="3" t="s">
        <v>49</v>
      </c>
      <c r="C30" s="3" t="s">
        <v>84</v>
      </c>
      <c r="D30" s="111" t="s">
        <v>85</v>
      </c>
      <c r="E30" s="111"/>
      <c r="F30" s="3" t="s">
        <v>75</v>
      </c>
      <c r="G30" s="30">
        <v>6.4116</v>
      </c>
      <c r="H30" s="32">
        <v>0</v>
      </c>
    </row>
    <row r="31" spans="1:8" ht="15">
      <c r="A31" s="34"/>
      <c r="D31" s="80" t="s">
        <v>587</v>
      </c>
      <c r="E31" s="158" t="s">
        <v>588</v>
      </c>
      <c r="F31" s="158"/>
      <c r="G31" s="81">
        <v>2.16</v>
      </c>
      <c r="H31" s="82"/>
    </row>
    <row r="32" spans="1:8" ht="15">
      <c r="A32" s="2" t="s">
        <v>48</v>
      </c>
      <c r="B32" s="3" t="s">
        <v>48</v>
      </c>
      <c r="C32" s="3" t="s">
        <v>48</v>
      </c>
      <c r="D32" s="80" t="s">
        <v>589</v>
      </c>
      <c r="E32" s="158" t="s">
        <v>48</v>
      </c>
      <c r="F32" s="158"/>
      <c r="G32" s="81">
        <v>0.64</v>
      </c>
      <c r="H32" s="83" t="s">
        <v>48</v>
      </c>
    </row>
    <row r="33" spans="1:8" ht="15">
      <c r="A33" s="2" t="s">
        <v>48</v>
      </c>
      <c r="B33" s="3" t="s">
        <v>48</v>
      </c>
      <c r="C33" s="3" t="s">
        <v>48</v>
      </c>
      <c r="D33" s="80" t="s">
        <v>589</v>
      </c>
      <c r="E33" s="158" t="s">
        <v>48</v>
      </c>
      <c r="F33" s="158"/>
      <c r="G33" s="81">
        <v>0.64</v>
      </c>
      <c r="H33" s="83" t="s">
        <v>48</v>
      </c>
    </row>
    <row r="34" spans="1:8" ht="15">
      <c r="A34" s="2" t="s">
        <v>48</v>
      </c>
      <c r="B34" s="3" t="s">
        <v>48</v>
      </c>
      <c r="C34" s="3" t="s">
        <v>48</v>
      </c>
      <c r="D34" s="80" t="s">
        <v>590</v>
      </c>
      <c r="E34" s="158" t="s">
        <v>48</v>
      </c>
      <c r="F34" s="158"/>
      <c r="G34" s="81">
        <v>0.6</v>
      </c>
      <c r="H34" s="83" t="s">
        <v>48</v>
      </c>
    </row>
    <row r="35" spans="1:8" ht="15">
      <c r="A35" s="2" t="s">
        <v>48</v>
      </c>
      <c r="B35" s="3" t="s">
        <v>48</v>
      </c>
      <c r="C35" s="3" t="s">
        <v>48</v>
      </c>
      <c r="D35" s="80" t="s">
        <v>591</v>
      </c>
      <c r="E35" s="158" t="s">
        <v>48</v>
      </c>
      <c r="F35" s="158"/>
      <c r="G35" s="81">
        <v>0.96</v>
      </c>
      <c r="H35" s="83" t="s">
        <v>48</v>
      </c>
    </row>
    <row r="36" spans="1:8" ht="15">
      <c r="A36" s="2" t="s">
        <v>48</v>
      </c>
      <c r="B36" s="3" t="s">
        <v>48</v>
      </c>
      <c r="C36" s="3" t="s">
        <v>48</v>
      </c>
      <c r="D36" s="80" t="s">
        <v>592</v>
      </c>
      <c r="E36" s="158" t="s">
        <v>48</v>
      </c>
      <c r="F36" s="158"/>
      <c r="G36" s="81">
        <v>0.2</v>
      </c>
      <c r="H36" s="83" t="s">
        <v>48</v>
      </c>
    </row>
    <row r="37" spans="1:8" ht="15">
      <c r="A37" s="2" t="s">
        <v>48</v>
      </c>
      <c r="B37" s="3" t="s">
        <v>48</v>
      </c>
      <c r="C37" s="3" t="s">
        <v>48</v>
      </c>
      <c r="D37" s="80" t="s">
        <v>593</v>
      </c>
      <c r="E37" s="158" t="s">
        <v>48</v>
      </c>
      <c r="F37" s="158"/>
      <c r="G37" s="81">
        <v>0.52</v>
      </c>
      <c r="H37" s="83" t="s">
        <v>48</v>
      </c>
    </row>
    <row r="38" spans="1:8" ht="15">
      <c r="A38" s="2" t="s">
        <v>48</v>
      </c>
      <c r="B38" s="3" t="s">
        <v>48</v>
      </c>
      <c r="C38" s="3" t="s">
        <v>48</v>
      </c>
      <c r="D38" s="80" t="s">
        <v>594</v>
      </c>
      <c r="E38" s="158" t="s">
        <v>48</v>
      </c>
      <c r="F38" s="158"/>
      <c r="G38" s="81">
        <v>0.4</v>
      </c>
      <c r="H38" s="83" t="s">
        <v>48</v>
      </c>
    </row>
    <row r="39" spans="1:8" ht="15">
      <c r="A39" s="2" t="s">
        <v>48</v>
      </c>
      <c r="B39" s="3" t="s">
        <v>48</v>
      </c>
      <c r="C39" s="3" t="s">
        <v>48</v>
      </c>
      <c r="D39" s="80" t="s">
        <v>595</v>
      </c>
      <c r="E39" s="158" t="s">
        <v>48</v>
      </c>
      <c r="F39" s="158"/>
      <c r="G39" s="81">
        <v>0.2916</v>
      </c>
      <c r="H39" s="83" t="s">
        <v>48</v>
      </c>
    </row>
    <row r="40" spans="1:8" ht="15">
      <c r="A40" s="78" t="s">
        <v>48</v>
      </c>
      <c r="B40" s="26" t="s">
        <v>49</v>
      </c>
      <c r="C40" s="26" t="s">
        <v>86</v>
      </c>
      <c r="D40" s="136" t="s">
        <v>87</v>
      </c>
      <c r="E40" s="136"/>
      <c r="F40" s="26" t="s">
        <v>48</v>
      </c>
      <c r="G40" s="10" t="s">
        <v>48</v>
      </c>
      <c r="H40" s="79" t="s">
        <v>48</v>
      </c>
    </row>
    <row r="41" spans="1:8" ht="15">
      <c r="A41" s="2" t="s">
        <v>88</v>
      </c>
      <c r="B41" s="3" t="s">
        <v>49</v>
      </c>
      <c r="C41" s="3" t="s">
        <v>89</v>
      </c>
      <c r="D41" s="111" t="s">
        <v>90</v>
      </c>
      <c r="E41" s="111"/>
      <c r="F41" s="3" t="s">
        <v>75</v>
      </c>
      <c r="G41" s="30">
        <v>183.54</v>
      </c>
      <c r="H41" s="32">
        <v>0</v>
      </c>
    </row>
    <row r="42" spans="1:8" ht="15">
      <c r="A42" s="2" t="s">
        <v>92</v>
      </c>
      <c r="B42" s="3" t="s">
        <v>49</v>
      </c>
      <c r="C42" s="3" t="s">
        <v>93</v>
      </c>
      <c r="D42" s="111" t="s">
        <v>94</v>
      </c>
      <c r="E42" s="111"/>
      <c r="F42" s="3" t="s">
        <v>75</v>
      </c>
      <c r="G42" s="30">
        <v>183.54</v>
      </c>
      <c r="H42" s="32">
        <v>0</v>
      </c>
    </row>
    <row r="43" spans="1:8" ht="15">
      <c r="A43" s="2" t="s">
        <v>51</v>
      </c>
      <c r="B43" s="3" t="s">
        <v>49</v>
      </c>
      <c r="C43" s="3" t="s">
        <v>95</v>
      </c>
      <c r="D43" s="111" t="s">
        <v>96</v>
      </c>
      <c r="E43" s="111"/>
      <c r="F43" s="3" t="s">
        <v>75</v>
      </c>
      <c r="G43" s="30">
        <v>183.54</v>
      </c>
      <c r="H43" s="32">
        <v>0</v>
      </c>
    </row>
    <row r="44" spans="1:8" ht="15">
      <c r="A44" s="2" t="s">
        <v>70</v>
      </c>
      <c r="B44" s="3" t="s">
        <v>49</v>
      </c>
      <c r="C44" s="3" t="s">
        <v>97</v>
      </c>
      <c r="D44" s="111" t="s">
        <v>98</v>
      </c>
      <c r="E44" s="111"/>
      <c r="F44" s="3" t="s">
        <v>75</v>
      </c>
      <c r="G44" s="30">
        <v>1284.78</v>
      </c>
      <c r="H44" s="32">
        <v>0</v>
      </c>
    </row>
    <row r="45" spans="1:8" ht="15">
      <c r="A45" s="34"/>
      <c r="D45" s="80" t="s">
        <v>596</v>
      </c>
      <c r="E45" s="158" t="s">
        <v>48</v>
      </c>
      <c r="F45" s="158"/>
      <c r="G45" s="81">
        <v>1284.78</v>
      </c>
      <c r="H45" s="82"/>
    </row>
    <row r="46" spans="1:8" ht="15">
      <c r="A46" s="2" t="s">
        <v>99</v>
      </c>
      <c r="B46" s="3" t="s">
        <v>49</v>
      </c>
      <c r="C46" s="3" t="s">
        <v>100</v>
      </c>
      <c r="D46" s="111" t="s">
        <v>101</v>
      </c>
      <c r="E46" s="111"/>
      <c r="F46" s="3" t="s">
        <v>102</v>
      </c>
      <c r="G46" s="30">
        <v>296.604</v>
      </c>
      <c r="H46" s="32">
        <v>0</v>
      </c>
    </row>
    <row r="47" spans="1:8" ht="15">
      <c r="A47" s="34"/>
      <c r="D47" s="80" t="s">
        <v>597</v>
      </c>
      <c r="E47" s="158" t="s">
        <v>48</v>
      </c>
      <c r="F47" s="158"/>
      <c r="G47" s="81">
        <v>330.372</v>
      </c>
      <c r="H47" s="82"/>
    </row>
    <row r="48" spans="1:8" ht="15">
      <c r="A48" s="2" t="s">
        <v>48</v>
      </c>
      <c r="B48" s="3" t="s">
        <v>48</v>
      </c>
      <c r="C48" s="3" t="s">
        <v>48</v>
      </c>
      <c r="D48" s="80" t="s">
        <v>598</v>
      </c>
      <c r="E48" s="158" t="s">
        <v>48</v>
      </c>
      <c r="F48" s="158"/>
      <c r="G48" s="81">
        <v>-33.768</v>
      </c>
      <c r="H48" s="83" t="s">
        <v>48</v>
      </c>
    </row>
    <row r="49" spans="1:8" ht="15">
      <c r="A49" s="78" t="s">
        <v>48</v>
      </c>
      <c r="B49" s="26" t="s">
        <v>49</v>
      </c>
      <c r="C49" s="26" t="s">
        <v>103</v>
      </c>
      <c r="D49" s="136" t="s">
        <v>104</v>
      </c>
      <c r="E49" s="136"/>
      <c r="F49" s="26" t="s">
        <v>48</v>
      </c>
      <c r="G49" s="10" t="s">
        <v>48</v>
      </c>
      <c r="H49" s="79" t="s">
        <v>48</v>
      </c>
    </row>
    <row r="50" spans="1:8" ht="15">
      <c r="A50" s="2" t="s">
        <v>105</v>
      </c>
      <c r="B50" s="3" t="s">
        <v>49</v>
      </c>
      <c r="C50" s="3" t="s">
        <v>106</v>
      </c>
      <c r="D50" s="111" t="s">
        <v>107</v>
      </c>
      <c r="E50" s="111"/>
      <c r="F50" s="3" t="s">
        <v>75</v>
      </c>
      <c r="G50" s="30">
        <v>18.76</v>
      </c>
      <c r="H50" s="32">
        <v>0</v>
      </c>
    </row>
    <row r="51" spans="1:8" ht="15">
      <c r="A51" s="34"/>
      <c r="D51" s="80" t="s">
        <v>599</v>
      </c>
      <c r="E51" s="158" t="s">
        <v>48</v>
      </c>
      <c r="F51" s="158"/>
      <c r="G51" s="81">
        <v>18.76</v>
      </c>
      <c r="H51" s="82"/>
    </row>
    <row r="52" spans="1:8" ht="15">
      <c r="A52" s="78" t="s">
        <v>48</v>
      </c>
      <c r="B52" s="26" t="s">
        <v>49</v>
      </c>
      <c r="C52" s="26" t="s">
        <v>109</v>
      </c>
      <c r="D52" s="136" t="s">
        <v>110</v>
      </c>
      <c r="E52" s="136"/>
      <c r="F52" s="26" t="s">
        <v>48</v>
      </c>
      <c r="G52" s="10" t="s">
        <v>48</v>
      </c>
      <c r="H52" s="79" t="s">
        <v>48</v>
      </c>
    </row>
    <row r="53" spans="1:8" ht="15">
      <c r="A53" s="2" t="s">
        <v>111</v>
      </c>
      <c r="B53" s="3" t="s">
        <v>49</v>
      </c>
      <c r="C53" s="3" t="s">
        <v>112</v>
      </c>
      <c r="D53" s="111" t="s">
        <v>113</v>
      </c>
      <c r="E53" s="111"/>
      <c r="F53" s="3" t="s">
        <v>56</v>
      </c>
      <c r="G53" s="30">
        <v>208.86</v>
      </c>
      <c r="H53" s="32">
        <v>0</v>
      </c>
    </row>
    <row r="54" spans="1:8" ht="15">
      <c r="A54" s="2" t="s">
        <v>86</v>
      </c>
      <c r="B54" s="3" t="s">
        <v>49</v>
      </c>
      <c r="C54" s="3" t="s">
        <v>115</v>
      </c>
      <c r="D54" s="111" t="s">
        <v>116</v>
      </c>
      <c r="E54" s="111"/>
      <c r="F54" s="3" t="s">
        <v>56</v>
      </c>
      <c r="G54" s="30">
        <v>208.86</v>
      </c>
      <c r="H54" s="32">
        <v>0</v>
      </c>
    </row>
    <row r="55" spans="1:8" ht="15">
      <c r="A55" s="2" t="s">
        <v>103</v>
      </c>
      <c r="B55" s="3" t="s">
        <v>49</v>
      </c>
      <c r="C55" s="3" t="s">
        <v>117</v>
      </c>
      <c r="D55" s="111" t="s">
        <v>118</v>
      </c>
      <c r="E55" s="111"/>
      <c r="F55" s="3" t="s">
        <v>56</v>
      </c>
      <c r="G55" s="30">
        <v>208.86</v>
      </c>
      <c r="H55" s="32">
        <v>0</v>
      </c>
    </row>
    <row r="56" spans="1:8" ht="15">
      <c r="A56" s="2" t="s">
        <v>109</v>
      </c>
      <c r="B56" s="3" t="s">
        <v>49</v>
      </c>
      <c r="C56" s="3" t="s">
        <v>119</v>
      </c>
      <c r="D56" s="111" t="s">
        <v>120</v>
      </c>
      <c r="E56" s="111"/>
      <c r="F56" s="3" t="s">
        <v>56</v>
      </c>
      <c r="G56" s="30">
        <v>208.86</v>
      </c>
      <c r="H56" s="32">
        <v>0</v>
      </c>
    </row>
    <row r="57" spans="1:8" ht="15">
      <c r="A57" s="2" t="s">
        <v>121</v>
      </c>
      <c r="B57" s="3" t="s">
        <v>49</v>
      </c>
      <c r="C57" s="3" t="s">
        <v>122</v>
      </c>
      <c r="D57" s="111" t="s">
        <v>123</v>
      </c>
      <c r="E57" s="111"/>
      <c r="F57" s="3" t="s">
        <v>56</v>
      </c>
      <c r="G57" s="30">
        <v>208.86</v>
      </c>
      <c r="H57" s="32">
        <v>0</v>
      </c>
    </row>
    <row r="58" spans="1:8" ht="15">
      <c r="A58" s="2" t="s">
        <v>124</v>
      </c>
      <c r="B58" s="3" t="s">
        <v>49</v>
      </c>
      <c r="C58" s="3" t="s">
        <v>125</v>
      </c>
      <c r="D58" s="111" t="s">
        <v>126</v>
      </c>
      <c r="E58" s="111"/>
      <c r="F58" s="3" t="s">
        <v>127</v>
      </c>
      <c r="G58" s="30">
        <v>2.0886</v>
      </c>
      <c r="H58" s="32">
        <v>0</v>
      </c>
    </row>
    <row r="59" spans="1:8" ht="15">
      <c r="A59" s="34"/>
      <c r="D59" s="80" t="s">
        <v>600</v>
      </c>
      <c r="E59" s="158" t="s">
        <v>48</v>
      </c>
      <c r="F59" s="158"/>
      <c r="G59" s="81">
        <v>2.0886</v>
      </c>
      <c r="H59" s="82"/>
    </row>
    <row r="60" spans="1:8" ht="15">
      <c r="A60" s="2" t="s">
        <v>128</v>
      </c>
      <c r="B60" s="3" t="s">
        <v>49</v>
      </c>
      <c r="C60" s="3" t="s">
        <v>129</v>
      </c>
      <c r="D60" s="111" t="s">
        <v>130</v>
      </c>
      <c r="E60" s="111"/>
      <c r="F60" s="3" t="s">
        <v>131</v>
      </c>
      <c r="G60" s="30">
        <v>6.2658</v>
      </c>
      <c r="H60" s="32">
        <v>0</v>
      </c>
    </row>
    <row r="61" spans="1:8" ht="15">
      <c r="A61" s="34"/>
      <c r="D61" s="80" t="s">
        <v>601</v>
      </c>
      <c r="E61" s="158" t="s">
        <v>48</v>
      </c>
      <c r="F61" s="158"/>
      <c r="G61" s="81">
        <v>6.2658</v>
      </c>
      <c r="H61" s="82"/>
    </row>
    <row r="62" spans="1:8" ht="15">
      <c r="A62" s="2" t="s">
        <v>132</v>
      </c>
      <c r="B62" s="3" t="s">
        <v>49</v>
      </c>
      <c r="C62" s="3" t="s">
        <v>133</v>
      </c>
      <c r="D62" s="111" t="s">
        <v>134</v>
      </c>
      <c r="E62" s="111"/>
      <c r="F62" s="3" t="s">
        <v>135</v>
      </c>
      <c r="G62" s="30">
        <v>460</v>
      </c>
      <c r="H62" s="32">
        <v>0</v>
      </c>
    </row>
    <row r="63" spans="1:8" ht="15">
      <c r="A63" s="2" t="s">
        <v>136</v>
      </c>
      <c r="B63" s="3" t="s">
        <v>49</v>
      </c>
      <c r="C63" s="3" t="s">
        <v>137</v>
      </c>
      <c r="D63" s="111" t="s">
        <v>138</v>
      </c>
      <c r="E63" s="111"/>
      <c r="F63" s="3" t="s">
        <v>56</v>
      </c>
      <c r="G63" s="30">
        <v>40</v>
      </c>
      <c r="H63" s="32">
        <v>0</v>
      </c>
    </row>
    <row r="64" spans="1:8" ht="15">
      <c r="A64" s="2" t="s">
        <v>139</v>
      </c>
      <c r="B64" s="3" t="s">
        <v>49</v>
      </c>
      <c r="C64" s="3" t="s">
        <v>140</v>
      </c>
      <c r="D64" s="111" t="s">
        <v>141</v>
      </c>
      <c r="E64" s="111"/>
      <c r="F64" s="3" t="s">
        <v>135</v>
      </c>
      <c r="G64" s="30">
        <v>460</v>
      </c>
      <c r="H64" s="32">
        <v>0</v>
      </c>
    </row>
    <row r="65" spans="1:8" ht="15">
      <c r="A65" s="2" t="s">
        <v>142</v>
      </c>
      <c r="B65" s="3" t="s">
        <v>49</v>
      </c>
      <c r="C65" s="3" t="s">
        <v>143</v>
      </c>
      <c r="D65" s="111" t="s">
        <v>144</v>
      </c>
      <c r="E65" s="111"/>
      <c r="F65" s="3" t="s">
        <v>145</v>
      </c>
      <c r="G65" s="30">
        <v>30</v>
      </c>
      <c r="H65" s="32">
        <v>0</v>
      </c>
    </row>
    <row r="66" spans="1:8" ht="15">
      <c r="A66" s="2" t="s">
        <v>146</v>
      </c>
      <c r="B66" s="3" t="s">
        <v>49</v>
      </c>
      <c r="C66" s="3" t="s">
        <v>147</v>
      </c>
      <c r="D66" s="111" t="s">
        <v>148</v>
      </c>
      <c r="E66" s="111"/>
      <c r="F66" s="3" t="s">
        <v>145</v>
      </c>
      <c r="G66" s="30">
        <v>10</v>
      </c>
      <c r="H66" s="32">
        <v>0</v>
      </c>
    </row>
    <row r="67" spans="1:8" ht="15">
      <c r="A67" s="2" t="s">
        <v>149</v>
      </c>
      <c r="B67" s="3" t="s">
        <v>49</v>
      </c>
      <c r="C67" s="3" t="s">
        <v>150</v>
      </c>
      <c r="D67" s="111" t="s">
        <v>151</v>
      </c>
      <c r="E67" s="111"/>
      <c r="F67" s="3" t="s">
        <v>145</v>
      </c>
      <c r="G67" s="30">
        <v>30</v>
      </c>
      <c r="H67" s="32">
        <v>0</v>
      </c>
    </row>
    <row r="68" spans="1:8" ht="15">
      <c r="A68" s="2" t="s">
        <v>152</v>
      </c>
      <c r="B68" s="3" t="s">
        <v>49</v>
      </c>
      <c r="C68" s="3" t="s">
        <v>153</v>
      </c>
      <c r="D68" s="111" t="s">
        <v>154</v>
      </c>
      <c r="E68" s="111"/>
      <c r="F68" s="3" t="s">
        <v>145</v>
      </c>
      <c r="G68" s="30">
        <v>60</v>
      </c>
      <c r="H68" s="32">
        <v>0</v>
      </c>
    </row>
    <row r="69" spans="1:8" ht="15">
      <c r="A69" s="2" t="s">
        <v>155</v>
      </c>
      <c r="B69" s="3" t="s">
        <v>49</v>
      </c>
      <c r="C69" s="3" t="s">
        <v>156</v>
      </c>
      <c r="D69" s="111" t="s">
        <v>157</v>
      </c>
      <c r="E69" s="111"/>
      <c r="F69" s="3" t="s">
        <v>145</v>
      </c>
      <c r="G69" s="30">
        <v>50</v>
      </c>
      <c r="H69" s="32">
        <v>0</v>
      </c>
    </row>
    <row r="70" spans="1:8" ht="15">
      <c r="A70" s="2" t="s">
        <v>158</v>
      </c>
      <c r="B70" s="3" t="s">
        <v>49</v>
      </c>
      <c r="C70" s="3" t="s">
        <v>159</v>
      </c>
      <c r="D70" s="111" t="s">
        <v>160</v>
      </c>
      <c r="E70" s="111"/>
      <c r="F70" s="3" t="s">
        <v>145</v>
      </c>
      <c r="G70" s="30">
        <v>50</v>
      </c>
      <c r="H70" s="32">
        <v>0</v>
      </c>
    </row>
    <row r="71" spans="1:8" ht="15">
      <c r="A71" s="2" t="s">
        <v>161</v>
      </c>
      <c r="B71" s="3" t="s">
        <v>49</v>
      </c>
      <c r="C71" s="3" t="s">
        <v>162</v>
      </c>
      <c r="D71" s="111" t="s">
        <v>163</v>
      </c>
      <c r="E71" s="111"/>
      <c r="F71" s="3" t="s">
        <v>145</v>
      </c>
      <c r="G71" s="30">
        <v>50</v>
      </c>
      <c r="H71" s="32">
        <v>0</v>
      </c>
    </row>
    <row r="72" spans="1:8" ht="15">
      <c r="A72" s="2" t="s">
        <v>164</v>
      </c>
      <c r="B72" s="3" t="s">
        <v>49</v>
      </c>
      <c r="C72" s="3" t="s">
        <v>165</v>
      </c>
      <c r="D72" s="111" t="s">
        <v>166</v>
      </c>
      <c r="E72" s="111"/>
      <c r="F72" s="3" t="s">
        <v>145</v>
      </c>
      <c r="G72" s="30">
        <v>50</v>
      </c>
      <c r="H72" s="32">
        <v>0</v>
      </c>
    </row>
    <row r="73" spans="1:8" ht="15">
      <c r="A73" s="2" t="s">
        <v>167</v>
      </c>
      <c r="B73" s="3" t="s">
        <v>49</v>
      </c>
      <c r="C73" s="3" t="s">
        <v>168</v>
      </c>
      <c r="D73" s="111" t="s">
        <v>169</v>
      </c>
      <c r="E73" s="111"/>
      <c r="F73" s="3" t="s">
        <v>145</v>
      </c>
      <c r="G73" s="30">
        <v>50</v>
      </c>
      <c r="H73" s="32">
        <v>0</v>
      </c>
    </row>
    <row r="74" spans="1:8" ht="15">
      <c r="A74" s="2" t="s">
        <v>170</v>
      </c>
      <c r="B74" s="3" t="s">
        <v>49</v>
      </c>
      <c r="C74" s="3" t="s">
        <v>171</v>
      </c>
      <c r="D74" s="111" t="s">
        <v>172</v>
      </c>
      <c r="E74" s="111"/>
      <c r="F74" s="3" t="s">
        <v>145</v>
      </c>
      <c r="G74" s="30">
        <v>40</v>
      </c>
      <c r="H74" s="32">
        <v>0</v>
      </c>
    </row>
    <row r="75" spans="1:8" ht="15">
      <c r="A75" s="2" t="s">
        <v>173</v>
      </c>
      <c r="B75" s="3" t="s">
        <v>49</v>
      </c>
      <c r="C75" s="3" t="s">
        <v>174</v>
      </c>
      <c r="D75" s="111" t="s">
        <v>175</v>
      </c>
      <c r="E75" s="111"/>
      <c r="F75" s="3" t="s">
        <v>145</v>
      </c>
      <c r="G75" s="30">
        <v>40</v>
      </c>
      <c r="H75" s="32">
        <v>0</v>
      </c>
    </row>
    <row r="76" spans="1:8" ht="15">
      <c r="A76" s="2" t="s">
        <v>176</v>
      </c>
      <c r="B76" s="3" t="s">
        <v>49</v>
      </c>
      <c r="C76" s="3" t="s">
        <v>177</v>
      </c>
      <c r="D76" s="111" t="s">
        <v>178</v>
      </c>
      <c r="E76" s="111"/>
      <c r="F76" s="3" t="s">
        <v>179</v>
      </c>
      <c r="G76" s="30">
        <v>5</v>
      </c>
      <c r="H76" s="32">
        <v>0</v>
      </c>
    </row>
    <row r="77" spans="1:8" ht="15">
      <c r="A77" s="2" t="s">
        <v>180</v>
      </c>
      <c r="B77" s="3" t="s">
        <v>49</v>
      </c>
      <c r="C77" s="3" t="s">
        <v>181</v>
      </c>
      <c r="D77" s="111" t="s">
        <v>182</v>
      </c>
      <c r="E77" s="111"/>
      <c r="F77" s="3" t="s">
        <v>135</v>
      </c>
      <c r="G77" s="30">
        <v>3</v>
      </c>
      <c r="H77" s="32">
        <v>0</v>
      </c>
    </row>
    <row r="78" spans="1:8" ht="15">
      <c r="A78" s="2" t="s">
        <v>183</v>
      </c>
      <c r="B78" s="3" t="s">
        <v>49</v>
      </c>
      <c r="C78" s="3" t="s">
        <v>184</v>
      </c>
      <c r="D78" s="111" t="s">
        <v>185</v>
      </c>
      <c r="E78" s="111"/>
      <c r="F78" s="3" t="s">
        <v>135</v>
      </c>
      <c r="G78" s="30">
        <v>2</v>
      </c>
      <c r="H78" s="32">
        <v>0</v>
      </c>
    </row>
    <row r="79" spans="1:8" ht="15">
      <c r="A79" s="2" t="s">
        <v>186</v>
      </c>
      <c r="B79" s="3" t="s">
        <v>49</v>
      </c>
      <c r="C79" s="3" t="s">
        <v>187</v>
      </c>
      <c r="D79" s="111" t="s">
        <v>188</v>
      </c>
      <c r="E79" s="111"/>
      <c r="F79" s="3" t="s">
        <v>135</v>
      </c>
      <c r="G79" s="30">
        <v>5</v>
      </c>
      <c r="H79" s="32">
        <v>0</v>
      </c>
    </row>
    <row r="80" spans="1:8" ht="15">
      <c r="A80" s="2" t="s">
        <v>189</v>
      </c>
      <c r="B80" s="3" t="s">
        <v>49</v>
      </c>
      <c r="C80" s="3" t="s">
        <v>190</v>
      </c>
      <c r="D80" s="111" t="s">
        <v>191</v>
      </c>
      <c r="E80" s="111"/>
      <c r="F80" s="3" t="s">
        <v>145</v>
      </c>
      <c r="G80" s="30">
        <v>2</v>
      </c>
      <c r="H80" s="32">
        <v>0</v>
      </c>
    </row>
    <row r="81" spans="1:8" ht="15">
      <c r="A81" s="2" t="s">
        <v>192</v>
      </c>
      <c r="B81" s="3" t="s">
        <v>49</v>
      </c>
      <c r="C81" s="3" t="s">
        <v>193</v>
      </c>
      <c r="D81" s="111" t="s">
        <v>194</v>
      </c>
      <c r="E81" s="111"/>
      <c r="F81" s="3" t="s">
        <v>145</v>
      </c>
      <c r="G81" s="30">
        <v>2</v>
      </c>
      <c r="H81" s="32">
        <v>0</v>
      </c>
    </row>
    <row r="82" spans="1:8" ht="15">
      <c r="A82" s="2" t="s">
        <v>195</v>
      </c>
      <c r="B82" s="3" t="s">
        <v>49</v>
      </c>
      <c r="C82" s="3" t="s">
        <v>193</v>
      </c>
      <c r="D82" s="111" t="s">
        <v>196</v>
      </c>
      <c r="E82" s="111"/>
      <c r="F82" s="3" t="s">
        <v>145</v>
      </c>
      <c r="G82" s="30">
        <v>1</v>
      </c>
      <c r="H82" s="32">
        <v>0</v>
      </c>
    </row>
    <row r="83" spans="1:8" ht="15">
      <c r="A83" s="78" t="s">
        <v>48</v>
      </c>
      <c r="B83" s="26" t="s">
        <v>49</v>
      </c>
      <c r="C83" s="26" t="s">
        <v>152</v>
      </c>
      <c r="D83" s="136" t="s">
        <v>197</v>
      </c>
      <c r="E83" s="136"/>
      <c r="F83" s="26" t="s">
        <v>48</v>
      </c>
      <c r="G83" s="10" t="s">
        <v>48</v>
      </c>
      <c r="H83" s="79" t="s">
        <v>48</v>
      </c>
    </row>
    <row r="84" spans="1:8" ht="15">
      <c r="A84" s="2" t="s">
        <v>198</v>
      </c>
      <c r="B84" s="3" t="s">
        <v>49</v>
      </c>
      <c r="C84" s="3" t="s">
        <v>199</v>
      </c>
      <c r="D84" s="111" t="s">
        <v>200</v>
      </c>
      <c r="E84" s="111"/>
      <c r="F84" s="3" t="s">
        <v>56</v>
      </c>
      <c r="G84" s="30">
        <v>351.175</v>
      </c>
      <c r="H84" s="32">
        <v>0</v>
      </c>
    </row>
    <row r="85" spans="1:8" ht="15">
      <c r="A85" s="34"/>
      <c r="D85" s="80" t="s">
        <v>602</v>
      </c>
      <c r="E85" s="158" t="s">
        <v>48</v>
      </c>
      <c r="F85" s="158"/>
      <c r="G85" s="81">
        <v>208.6</v>
      </c>
      <c r="H85" s="82"/>
    </row>
    <row r="86" spans="1:8" ht="15">
      <c r="A86" s="2" t="s">
        <v>48</v>
      </c>
      <c r="B86" s="3" t="s">
        <v>48</v>
      </c>
      <c r="C86" s="3" t="s">
        <v>48</v>
      </c>
      <c r="D86" s="80" t="s">
        <v>603</v>
      </c>
      <c r="E86" s="158" t="s">
        <v>48</v>
      </c>
      <c r="F86" s="158"/>
      <c r="G86" s="81">
        <v>46.9</v>
      </c>
      <c r="H86" s="83" t="s">
        <v>48</v>
      </c>
    </row>
    <row r="87" spans="1:8" ht="15">
      <c r="A87" s="2" t="s">
        <v>48</v>
      </c>
      <c r="B87" s="3" t="s">
        <v>48</v>
      </c>
      <c r="C87" s="3" t="s">
        <v>48</v>
      </c>
      <c r="D87" s="80" t="s">
        <v>604</v>
      </c>
      <c r="E87" s="158" t="s">
        <v>48</v>
      </c>
      <c r="F87" s="158"/>
      <c r="G87" s="81">
        <v>95.675</v>
      </c>
      <c r="H87" s="83" t="s">
        <v>48</v>
      </c>
    </row>
    <row r="88" spans="1:8" ht="15">
      <c r="A88" s="2" t="s">
        <v>203</v>
      </c>
      <c r="B88" s="3" t="s">
        <v>49</v>
      </c>
      <c r="C88" s="3" t="s">
        <v>204</v>
      </c>
      <c r="D88" s="111" t="s">
        <v>205</v>
      </c>
      <c r="E88" s="111"/>
      <c r="F88" s="3" t="s">
        <v>56</v>
      </c>
      <c r="G88" s="30">
        <v>368.73375</v>
      </c>
      <c r="H88" s="32">
        <v>0</v>
      </c>
    </row>
    <row r="89" spans="1:8" ht="15">
      <c r="A89" s="34"/>
      <c r="D89" s="80" t="s">
        <v>605</v>
      </c>
      <c r="E89" s="158" t="s">
        <v>48</v>
      </c>
      <c r="F89" s="158"/>
      <c r="G89" s="81">
        <v>368.73375</v>
      </c>
      <c r="H89" s="82"/>
    </row>
    <row r="90" spans="1:8" ht="15">
      <c r="A90" s="78" t="s">
        <v>48</v>
      </c>
      <c r="B90" s="26" t="s">
        <v>49</v>
      </c>
      <c r="C90" s="26" t="s">
        <v>167</v>
      </c>
      <c r="D90" s="136" t="s">
        <v>206</v>
      </c>
      <c r="E90" s="136"/>
      <c r="F90" s="26" t="s">
        <v>48</v>
      </c>
      <c r="G90" s="10" t="s">
        <v>48</v>
      </c>
      <c r="H90" s="79" t="s">
        <v>48</v>
      </c>
    </row>
    <row r="91" spans="1:8" ht="15">
      <c r="A91" s="2" t="s">
        <v>207</v>
      </c>
      <c r="B91" s="3" t="s">
        <v>49</v>
      </c>
      <c r="C91" s="3" t="s">
        <v>208</v>
      </c>
      <c r="D91" s="111" t="s">
        <v>209</v>
      </c>
      <c r="E91" s="111"/>
      <c r="F91" s="3" t="s">
        <v>69</v>
      </c>
      <c r="G91" s="30">
        <v>10.5</v>
      </c>
      <c r="H91" s="32">
        <v>0</v>
      </c>
    </row>
    <row r="92" spans="1:8" ht="15">
      <c r="A92" s="34"/>
      <c r="D92" s="80" t="s">
        <v>606</v>
      </c>
      <c r="E92" s="158" t="s">
        <v>48</v>
      </c>
      <c r="F92" s="158"/>
      <c r="G92" s="81">
        <v>2.8</v>
      </c>
      <c r="H92" s="82"/>
    </row>
    <row r="93" spans="1:8" ht="15">
      <c r="A93" s="2" t="s">
        <v>48</v>
      </c>
      <c r="B93" s="3" t="s">
        <v>48</v>
      </c>
      <c r="C93" s="3" t="s">
        <v>48</v>
      </c>
      <c r="D93" s="80" t="s">
        <v>607</v>
      </c>
      <c r="E93" s="158" t="s">
        <v>48</v>
      </c>
      <c r="F93" s="158"/>
      <c r="G93" s="81">
        <v>1.02</v>
      </c>
      <c r="H93" s="83" t="s">
        <v>48</v>
      </c>
    </row>
    <row r="94" spans="1:8" ht="15">
      <c r="A94" s="2" t="s">
        <v>48</v>
      </c>
      <c r="B94" s="3" t="s">
        <v>48</v>
      </c>
      <c r="C94" s="3" t="s">
        <v>48</v>
      </c>
      <c r="D94" s="80" t="s">
        <v>608</v>
      </c>
      <c r="E94" s="158" t="s">
        <v>48</v>
      </c>
      <c r="F94" s="158"/>
      <c r="G94" s="81">
        <v>2.18</v>
      </c>
      <c r="H94" s="83" t="s">
        <v>48</v>
      </c>
    </row>
    <row r="95" spans="1:8" ht="15">
      <c r="A95" s="2" t="s">
        <v>48</v>
      </c>
      <c r="B95" s="3" t="s">
        <v>48</v>
      </c>
      <c r="C95" s="3" t="s">
        <v>48</v>
      </c>
      <c r="D95" s="80" t="s">
        <v>609</v>
      </c>
      <c r="E95" s="158" t="s">
        <v>48</v>
      </c>
      <c r="F95" s="158"/>
      <c r="G95" s="81">
        <v>4.5</v>
      </c>
      <c r="H95" s="83" t="s">
        <v>48</v>
      </c>
    </row>
    <row r="96" spans="1:8" ht="15">
      <c r="A96" s="78" t="s">
        <v>48</v>
      </c>
      <c r="B96" s="26" t="s">
        <v>49</v>
      </c>
      <c r="C96" s="26" t="s">
        <v>212</v>
      </c>
      <c r="D96" s="136" t="s">
        <v>213</v>
      </c>
      <c r="E96" s="136"/>
      <c r="F96" s="26" t="s">
        <v>48</v>
      </c>
      <c r="G96" s="10" t="s">
        <v>48</v>
      </c>
      <c r="H96" s="79" t="s">
        <v>48</v>
      </c>
    </row>
    <row r="97" spans="1:8" ht="15">
      <c r="A97" s="2" t="s">
        <v>214</v>
      </c>
      <c r="B97" s="3" t="s">
        <v>49</v>
      </c>
      <c r="C97" s="3" t="s">
        <v>215</v>
      </c>
      <c r="D97" s="111" t="s">
        <v>216</v>
      </c>
      <c r="E97" s="111"/>
      <c r="F97" s="3" t="s">
        <v>56</v>
      </c>
      <c r="G97" s="30">
        <v>208.6</v>
      </c>
      <c r="H97" s="32">
        <v>0</v>
      </c>
    </row>
    <row r="98" spans="1:8" ht="15">
      <c r="A98" s="34"/>
      <c r="D98" s="80" t="s">
        <v>602</v>
      </c>
      <c r="E98" s="158" t="s">
        <v>48</v>
      </c>
      <c r="F98" s="158"/>
      <c r="G98" s="81">
        <v>208.6</v>
      </c>
      <c r="H98" s="82"/>
    </row>
    <row r="99" spans="1:8" ht="15">
      <c r="A99" s="78" t="s">
        <v>48</v>
      </c>
      <c r="B99" s="26" t="s">
        <v>49</v>
      </c>
      <c r="C99" s="26" t="s">
        <v>219</v>
      </c>
      <c r="D99" s="136" t="s">
        <v>220</v>
      </c>
      <c r="E99" s="136"/>
      <c r="F99" s="26" t="s">
        <v>48</v>
      </c>
      <c r="G99" s="10" t="s">
        <v>48</v>
      </c>
      <c r="H99" s="79" t="s">
        <v>48</v>
      </c>
    </row>
    <row r="100" spans="1:8" ht="15">
      <c r="A100" s="2" t="s">
        <v>221</v>
      </c>
      <c r="B100" s="3" t="s">
        <v>49</v>
      </c>
      <c r="C100" s="3" t="s">
        <v>222</v>
      </c>
      <c r="D100" s="111" t="s">
        <v>223</v>
      </c>
      <c r="E100" s="111"/>
      <c r="F100" s="3" t="s">
        <v>56</v>
      </c>
      <c r="G100" s="30">
        <v>221.62</v>
      </c>
      <c r="H100" s="32">
        <v>0</v>
      </c>
    </row>
    <row r="101" spans="1:8" ht="15">
      <c r="A101" s="2" t="s">
        <v>225</v>
      </c>
      <c r="B101" s="3" t="s">
        <v>49</v>
      </c>
      <c r="C101" s="3" t="s">
        <v>226</v>
      </c>
      <c r="D101" s="111" t="s">
        <v>227</v>
      </c>
      <c r="E101" s="111"/>
      <c r="F101" s="3" t="s">
        <v>69</v>
      </c>
      <c r="G101" s="30">
        <v>95.675</v>
      </c>
      <c r="H101" s="32">
        <v>0</v>
      </c>
    </row>
    <row r="102" spans="1:8" ht="15">
      <c r="A102" s="34"/>
      <c r="D102" s="80" t="s">
        <v>610</v>
      </c>
      <c r="E102" s="158" t="s">
        <v>48</v>
      </c>
      <c r="F102" s="158"/>
      <c r="G102" s="81">
        <v>95.675</v>
      </c>
      <c r="H102" s="82"/>
    </row>
    <row r="103" spans="1:8" ht="15">
      <c r="A103" s="2" t="s">
        <v>228</v>
      </c>
      <c r="B103" s="3" t="s">
        <v>49</v>
      </c>
      <c r="C103" s="3" t="s">
        <v>229</v>
      </c>
      <c r="D103" s="111" t="s">
        <v>230</v>
      </c>
      <c r="E103" s="111"/>
      <c r="F103" s="3" t="s">
        <v>56</v>
      </c>
      <c r="G103" s="30">
        <v>243.782</v>
      </c>
      <c r="H103" s="32">
        <v>0</v>
      </c>
    </row>
    <row r="104" spans="1:8" ht="15">
      <c r="A104" s="34"/>
      <c r="D104" s="80" t="s">
        <v>611</v>
      </c>
      <c r="E104" s="158" t="s">
        <v>48</v>
      </c>
      <c r="F104" s="158"/>
      <c r="G104" s="81">
        <v>243.782</v>
      </c>
      <c r="H104" s="82"/>
    </row>
    <row r="105" spans="1:8" ht="67.5" customHeight="1">
      <c r="A105" s="34"/>
      <c r="C105" s="84" t="s">
        <v>231</v>
      </c>
      <c r="D105" s="137" t="s">
        <v>232</v>
      </c>
      <c r="E105" s="138"/>
      <c r="F105" s="138"/>
      <c r="G105" s="138"/>
      <c r="H105" s="82"/>
    </row>
    <row r="106" spans="1:8" ht="15">
      <c r="A106" s="78" t="s">
        <v>48</v>
      </c>
      <c r="B106" s="26" t="s">
        <v>49</v>
      </c>
      <c r="C106" s="26" t="s">
        <v>233</v>
      </c>
      <c r="D106" s="136" t="s">
        <v>234</v>
      </c>
      <c r="E106" s="136"/>
      <c r="F106" s="26" t="s">
        <v>48</v>
      </c>
      <c r="G106" s="10" t="s">
        <v>48</v>
      </c>
      <c r="H106" s="79" t="s">
        <v>48</v>
      </c>
    </row>
    <row r="107" spans="1:8" ht="15">
      <c r="A107" s="2" t="s">
        <v>235</v>
      </c>
      <c r="B107" s="3" t="s">
        <v>49</v>
      </c>
      <c r="C107" s="3" t="s">
        <v>236</v>
      </c>
      <c r="D107" s="111" t="s">
        <v>237</v>
      </c>
      <c r="E107" s="111"/>
      <c r="F107" s="3" t="s">
        <v>56</v>
      </c>
      <c r="G107" s="30">
        <v>5</v>
      </c>
      <c r="H107" s="32">
        <v>0</v>
      </c>
    </row>
    <row r="108" spans="1:8" ht="15">
      <c r="A108" s="34"/>
      <c r="D108" s="80" t="s">
        <v>72</v>
      </c>
      <c r="E108" s="158" t="s">
        <v>48</v>
      </c>
      <c r="F108" s="158"/>
      <c r="G108" s="81">
        <v>5</v>
      </c>
      <c r="H108" s="82"/>
    </row>
    <row r="109" spans="1:8" ht="15">
      <c r="A109" s="78" t="s">
        <v>48</v>
      </c>
      <c r="B109" s="26" t="s">
        <v>49</v>
      </c>
      <c r="C109" s="26" t="s">
        <v>240</v>
      </c>
      <c r="D109" s="136" t="s">
        <v>241</v>
      </c>
      <c r="E109" s="136"/>
      <c r="F109" s="26" t="s">
        <v>48</v>
      </c>
      <c r="G109" s="10" t="s">
        <v>48</v>
      </c>
      <c r="H109" s="79" t="s">
        <v>48</v>
      </c>
    </row>
    <row r="110" spans="1:8" ht="15">
      <c r="A110" s="2" t="s">
        <v>242</v>
      </c>
      <c r="B110" s="3" t="s">
        <v>49</v>
      </c>
      <c r="C110" s="3" t="s">
        <v>243</v>
      </c>
      <c r="D110" s="111" t="s">
        <v>244</v>
      </c>
      <c r="E110" s="111"/>
      <c r="F110" s="3" t="s">
        <v>56</v>
      </c>
      <c r="G110" s="30">
        <v>46.9</v>
      </c>
      <c r="H110" s="32">
        <v>0</v>
      </c>
    </row>
    <row r="111" spans="1:8" ht="15">
      <c r="A111" s="34"/>
      <c r="D111" s="80" t="s">
        <v>603</v>
      </c>
      <c r="E111" s="158" t="s">
        <v>48</v>
      </c>
      <c r="F111" s="158"/>
      <c r="G111" s="81">
        <v>46.9</v>
      </c>
      <c r="H111" s="82"/>
    </row>
    <row r="112" spans="1:8" ht="13.5" customHeight="1">
      <c r="A112" s="34"/>
      <c r="C112" s="84" t="s">
        <v>231</v>
      </c>
      <c r="D112" s="137" t="s">
        <v>246</v>
      </c>
      <c r="E112" s="138"/>
      <c r="F112" s="138"/>
      <c r="G112" s="138"/>
      <c r="H112" s="82"/>
    </row>
    <row r="113" spans="1:8" ht="15">
      <c r="A113" s="78" t="s">
        <v>48</v>
      </c>
      <c r="B113" s="26" t="s">
        <v>49</v>
      </c>
      <c r="C113" s="26" t="s">
        <v>247</v>
      </c>
      <c r="D113" s="136" t="s">
        <v>248</v>
      </c>
      <c r="E113" s="136"/>
      <c r="F113" s="26" t="s">
        <v>48</v>
      </c>
      <c r="G113" s="10" t="s">
        <v>48</v>
      </c>
      <c r="H113" s="79" t="s">
        <v>48</v>
      </c>
    </row>
    <row r="114" spans="1:8" ht="15">
      <c r="A114" s="2" t="s">
        <v>249</v>
      </c>
      <c r="B114" s="3" t="s">
        <v>49</v>
      </c>
      <c r="C114" s="3" t="s">
        <v>250</v>
      </c>
      <c r="D114" s="111" t="s">
        <v>251</v>
      </c>
      <c r="E114" s="111"/>
      <c r="F114" s="3" t="s">
        <v>56</v>
      </c>
      <c r="G114" s="30">
        <v>35.89</v>
      </c>
      <c r="H114" s="32">
        <v>0</v>
      </c>
    </row>
    <row r="115" spans="1:8" ht="15">
      <c r="A115" s="34"/>
      <c r="D115" s="80" t="s">
        <v>612</v>
      </c>
      <c r="E115" s="158" t="s">
        <v>48</v>
      </c>
      <c r="F115" s="158"/>
      <c r="G115" s="81">
        <v>35.89</v>
      </c>
      <c r="H115" s="82"/>
    </row>
    <row r="116" spans="1:8" ht="15">
      <c r="A116" s="2" t="s">
        <v>256</v>
      </c>
      <c r="B116" s="3" t="s">
        <v>49</v>
      </c>
      <c r="C116" s="3" t="s">
        <v>257</v>
      </c>
      <c r="D116" s="111" t="s">
        <v>258</v>
      </c>
      <c r="E116" s="111"/>
      <c r="F116" s="3" t="s">
        <v>69</v>
      </c>
      <c r="G116" s="30">
        <v>71.78</v>
      </c>
      <c r="H116" s="32">
        <v>0</v>
      </c>
    </row>
    <row r="117" spans="1:8" ht="15">
      <c r="A117" s="34"/>
      <c r="D117" s="80" t="s">
        <v>613</v>
      </c>
      <c r="E117" s="158" t="s">
        <v>48</v>
      </c>
      <c r="F117" s="158"/>
      <c r="G117" s="81">
        <v>71.78</v>
      </c>
      <c r="H117" s="82"/>
    </row>
    <row r="118" spans="1:8" ht="15">
      <c r="A118" s="2" t="s">
        <v>260</v>
      </c>
      <c r="B118" s="3" t="s">
        <v>49</v>
      </c>
      <c r="C118" s="3" t="s">
        <v>261</v>
      </c>
      <c r="D118" s="111" t="s">
        <v>262</v>
      </c>
      <c r="E118" s="111"/>
      <c r="F118" s="3" t="s">
        <v>56</v>
      </c>
      <c r="G118" s="30">
        <v>6.498</v>
      </c>
      <c r="H118" s="32">
        <v>0</v>
      </c>
    </row>
    <row r="119" spans="1:8" ht="15">
      <c r="A119" s="34"/>
      <c r="D119" s="80" t="s">
        <v>614</v>
      </c>
      <c r="E119" s="158" t="s">
        <v>48</v>
      </c>
      <c r="F119" s="158"/>
      <c r="G119" s="81">
        <v>6.498</v>
      </c>
      <c r="H119" s="82"/>
    </row>
    <row r="120" spans="1:8" ht="15">
      <c r="A120" s="2" t="s">
        <v>264</v>
      </c>
      <c r="B120" s="3" t="s">
        <v>49</v>
      </c>
      <c r="C120" s="3" t="s">
        <v>265</v>
      </c>
      <c r="D120" s="111" t="s">
        <v>266</v>
      </c>
      <c r="E120" s="111"/>
      <c r="F120" s="3" t="s">
        <v>179</v>
      </c>
      <c r="G120" s="30">
        <v>221.0872</v>
      </c>
      <c r="H120" s="32">
        <v>0</v>
      </c>
    </row>
    <row r="121" spans="1:8" ht="15">
      <c r="A121" s="78" t="s">
        <v>48</v>
      </c>
      <c r="B121" s="26" t="s">
        <v>49</v>
      </c>
      <c r="C121" s="26" t="s">
        <v>267</v>
      </c>
      <c r="D121" s="136" t="s">
        <v>268</v>
      </c>
      <c r="E121" s="136"/>
      <c r="F121" s="26" t="s">
        <v>48</v>
      </c>
      <c r="G121" s="10" t="s">
        <v>48</v>
      </c>
      <c r="H121" s="79" t="s">
        <v>48</v>
      </c>
    </row>
    <row r="122" spans="1:8" ht="15">
      <c r="A122" s="2" t="s">
        <v>212</v>
      </c>
      <c r="B122" s="3" t="s">
        <v>49</v>
      </c>
      <c r="C122" s="3" t="s">
        <v>269</v>
      </c>
      <c r="D122" s="111" t="s">
        <v>270</v>
      </c>
      <c r="E122" s="111"/>
      <c r="F122" s="3" t="s">
        <v>135</v>
      </c>
      <c r="G122" s="30">
        <v>6</v>
      </c>
      <c r="H122" s="32">
        <v>0</v>
      </c>
    </row>
    <row r="123" spans="1:8" ht="13.5" customHeight="1">
      <c r="A123" s="34"/>
      <c r="C123" s="84" t="s">
        <v>231</v>
      </c>
      <c r="D123" s="137" t="s">
        <v>273</v>
      </c>
      <c r="E123" s="138"/>
      <c r="F123" s="138"/>
      <c r="G123" s="138"/>
      <c r="H123" s="82"/>
    </row>
    <row r="124" spans="1:8" ht="15">
      <c r="A124" s="78" t="s">
        <v>48</v>
      </c>
      <c r="B124" s="26" t="s">
        <v>49</v>
      </c>
      <c r="C124" s="26" t="s">
        <v>274</v>
      </c>
      <c r="D124" s="136" t="s">
        <v>275</v>
      </c>
      <c r="E124" s="136"/>
      <c r="F124" s="26" t="s">
        <v>48</v>
      </c>
      <c r="G124" s="10" t="s">
        <v>48</v>
      </c>
      <c r="H124" s="79" t="s">
        <v>48</v>
      </c>
    </row>
    <row r="125" spans="1:8" ht="15">
      <c r="A125" s="2" t="s">
        <v>276</v>
      </c>
      <c r="B125" s="3" t="s">
        <v>49</v>
      </c>
      <c r="C125" s="3" t="s">
        <v>277</v>
      </c>
      <c r="D125" s="111" t="s">
        <v>278</v>
      </c>
      <c r="E125" s="111"/>
      <c r="F125" s="3" t="s">
        <v>131</v>
      </c>
      <c r="G125" s="30">
        <v>40</v>
      </c>
      <c r="H125" s="32">
        <v>0</v>
      </c>
    </row>
    <row r="126" spans="1:8" ht="15">
      <c r="A126" s="34"/>
      <c r="D126" s="80" t="s">
        <v>615</v>
      </c>
      <c r="E126" s="158" t="s">
        <v>616</v>
      </c>
      <c r="F126" s="158"/>
      <c r="G126" s="81">
        <v>40</v>
      </c>
      <c r="H126" s="82"/>
    </row>
    <row r="127" spans="1:8" ht="15">
      <c r="A127" s="2" t="s">
        <v>282</v>
      </c>
      <c r="B127" s="3" t="s">
        <v>49</v>
      </c>
      <c r="C127" s="3" t="s">
        <v>283</v>
      </c>
      <c r="D127" s="111" t="s">
        <v>284</v>
      </c>
      <c r="E127" s="111"/>
      <c r="F127" s="3" t="s">
        <v>285</v>
      </c>
      <c r="G127" s="30">
        <v>1</v>
      </c>
      <c r="H127" s="32">
        <v>0</v>
      </c>
    </row>
    <row r="128" spans="1:8" ht="189" customHeight="1">
      <c r="A128" s="34"/>
      <c r="C128" s="84" t="s">
        <v>231</v>
      </c>
      <c r="D128" s="137" t="s">
        <v>286</v>
      </c>
      <c r="E128" s="138"/>
      <c r="F128" s="138"/>
      <c r="G128" s="138"/>
      <c r="H128" s="82"/>
    </row>
    <row r="129" spans="1:8" ht="15">
      <c r="A129" s="2" t="s">
        <v>219</v>
      </c>
      <c r="B129" s="3" t="s">
        <v>49</v>
      </c>
      <c r="C129" s="3" t="s">
        <v>287</v>
      </c>
      <c r="D129" s="111" t="s">
        <v>288</v>
      </c>
      <c r="E129" s="111"/>
      <c r="F129" s="3" t="s">
        <v>179</v>
      </c>
      <c r="G129" s="30">
        <v>2997.168</v>
      </c>
      <c r="H129" s="32">
        <v>0</v>
      </c>
    </row>
    <row r="130" spans="1:8" ht="15">
      <c r="A130" s="78" t="s">
        <v>48</v>
      </c>
      <c r="B130" s="26" t="s">
        <v>49</v>
      </c>
      <c r="C130" s="26" t="s">
        <v>289</v>
      </c>
      <c r="D130" s="136" t="s">
        <v>290</v>
      </c>
      <c r="E130" s="136"/>
      <c r="F130" s="26" t="s">
        <v>48</v>
      </c>
      <c r="G130" s="10" t="s">
        <v>48</v>
      </c>
      <c r="H130" s="79" t="s">
        <v>48</v>
      </c>
    </row>
    <row r="131" spans="1:8" ht="15">
      <c r="A131" s="2" t="s">
        <v>291</v>
      </c>
      <c r="B131" s="3" t="s">
        <v>49</v>
      </c>
      <c r="C131" s="3" t="s">
        <v>292</v>
      </c>
      <c r="D131" s="111" t="s">
        <v>293</v>
      </c>
      <c r="E131" s="111"/>
      <c r="F131" s="3" t="s">
        <v>56</v>
      </c>
      <c r="G131" s="30">
        <v>9.172</v>
      </c>
      <c r="H131" s="32">
        <v>0</v>
      </c>
    </row>
    <row r="132" spans="1:8" ht="15">
      <c r="A132" s="34"/>
      <c r="D132" s="80" t="s">
        <v>617</v>
      </c>
      <c r="E132" s="158" t="s">
        <v>48</v>
      </c>
      <c r="F132" s="158"/>
      <c r="G132" s="81">
        <v>3.2</v>
      </c>
      <c r="H132" s="82"/>
    </row>
    <row r="133" spans="1:8" ht="15">
      <c r="A133" s="2" t="s">
        <v>48</v>
      </c>
      <c r="B133" s="3" t="s">
        <v>48</v>
      </c>
      <c r="C133" s="3" t="s">
        <v>48</v>
      </c>
      <c r="D133" s="80" t="s">
        <v>618</v>
      </c>
      <c r="E133" s="158" t="s">
        <v>48</v>
      </c>
      <c r="F133" s="158"/>
      <c r="G133" s="81">
        <v>3.6</v>
      </c>
      <c r="H133" s="83" t="s">
        <v>48</v>
      </c>
    </row>
    <row r="134" spans="1:8" ht="15">
      <c r="A134" s="2" t="s">
        <v>48</v>
      </c>
      <c r="B134" s="3" t="s">
        <v>48</v>
      </c>
      <c r="C134" s="3" t="s">
        <v>48</v>
      </c>
      <c r="D134" s="80" t="s">
        <v>619</v>
      </c>
      <c r="E134" s="158" t="s">
        <v>48</v>
      </c>
      <c r="F134" s="158"/>
      <c r="G134" s="81">
        <v>1.4</v>
      </c>
      <c r="H134" s="83" t="s">
        <v>48</v>
      </c>
    </row>
    <row r="135" spans="1:8" ht="15">
      <c r="A135" s="2" t="s">
        <v>48</v>
      </c>
      <c r="B135" s="3" t="s">
        <v>48</v>
      </c>
      <c r="C135" s="3" t="s">
        <v>48</v>
      </c>
      <c r="D135" s="80" t="s">
        <v>620</v>
      </c>
      <c r="E135" s="158" t="s">
        <v>48</v>
      </c>
      <c r="F135" s="158"/>
      <c r="G135" s="81">
        <v>0.972</v>
      </c>
      <c r="H135" s="83" t="s">
        <v>48</v>
      </c>
    </row>
    <row r="136" spans="1:8" ht="15">
      <c r="A136" s="2" t="s">
        <v>296</v>
      </c>
      <c r="B136" s="3" t="s">
        <v>49</v>
      </c>
      <c r="C136" s="3" t="s">
        <v>297</v>
      </c>
      <c r="D136" s="111" t="s">
        <v>298</v>
      </c>
      <c r="E136" s="111"/>
      <c r="F136" s="3" t="s">
        <v>56</v>
      </c>
      <c r="G136" s="30">
        <v>6.498</v>
      </c>
      <c r="H136" s="32">
        <v>0</v>
      </c>
    </row>
    <row r="137" spans="1:8" ht="15">
      <c r="A137" s="34"/>
      <c r="D137" s="80" t="s">
        <v>621</v>
      </c>
      <c r="E137" s="158" t="s">
        <v>48</v>
      </c>
      <c r="F137" s="158"/>
      <c r="G137" s="81">
        <v>6.498</v>
      </c>
      <c r="H137" s="82"/>
    </row>
    <row r="138" spans="1:8" ht="15">
      <c r="A138" s="2" t="s">
        <v>233</v>
      </c>
      <c r="B138" s="3" t="s">
        <v>49</v>
      </c>
      <c r="C138" s="3" t="s">
        <v>299</v>
      </c>
      <c r="D138" s="111" t="s">
        <v>300</v>
      </c>
      <c r="E138" s="111"/>
      <c r="F138" s="3" t="s">
        <v>56</v>
      </c>
      <c r="G138" s="30">
        <v>6.498</v>
      </c>
      <c r="H138" s="32">
        <v>0</v>
      </c>
    </row>
    <row r="139" spans="1:8" ht="15">
      <c r="A139" s="34"/>
      <c r="D139" s="80" t="s">
        <v>621</v>
      </c>
      <c r="E139" s="158" t="s">
        <v>48</v>
      </c>
      <c r="F139" s="158"/>
      <c r="G139" s="81">
        <v>6.498</v>
      </c>
      <c r="H139" s="82"/>
    </row>
    <row r="140" spans="1:8" ht="15">
      <c r="A140" s="2" t="s">
        <v>240</v>
      </c>
      <c r="B140" s="3" t="s">
        <v>49</v>
      </c>
      <c r="C140" s="3" t="s">
        <v>301</v>
      </c>
      <c r="D140" s="111" t="s">
        <v>302</v>
      </c>
      <c r="E140" s="111"/>
      <c r="F140" s="3" t="s">
        <v>56</v>
      </c>
      <c r="G140" s="30">
        <v>6.498</v>
      </c>
      <c r="H140" s="32">
        <v>0</v>
      </c>
    </row>
    <row r="141" spans="1:8" ht="15">
      <c r="A141" s="34"/>
      <c r="D141" s="80" t="s">
        <v>621</v>
      </c>
      <c r="E141" s="158" t="s">
        <v>48</v>
      </c>
      <c r="F141" s="158"/>
      <c r="G141" s="81">
        <v>6.498</v>
      </c>
      <c r="H141" s="82"/>
    </row>
    <row r="142" spans="1:8" ht="15">
      <c r="A142" s="2" t="s">
        <v>303</v>
      </c>
      <c r="B142" s="3" t="s">
        <v>49</v>
      </c>
      <c r="C142" s="3" t="s">
        <v>304</v>
      </c>
      <c r="D142" s="111" t="s">
        <v>305</v>
      </c>
      <c r="E142" s="111"/>
      <c r="F142" s="3" t="s">
        <v>69</v>
      </c>
      <c r="G142" s="30">
        <v>1.49</v>
      </c>
      <c r="H142" s="32">
        <v>0</v>
      </c>
    </row>
    <row r="143" spans="1:8" ht="15">
      <c r="A143" s="2" t="s">
        <v>306</v>
      </c>
      <c r="B143" s="3" t="s">
        <v>49</v>
      </c>
      <c r="C143" s="3" t="s">
        <v>307</v>
      </c>
      <c r="D143" s="111" t="s">
        <v>308</v>
      </c>
      <c r="E143" s="111"/>
      <c r="F143" s="3" t="s">
        <v>56</v>
      </c>
      <c r="G143" s="30">
        <v>6.2</v>
      </c>
      <c r="H143" s="32">
        <v>0</v>
      </c>
    </row>
    <row r="144" spans="1:8" ht="15">
      <c r="A144" s="2" t="s">
        <v>309</v>
      </c>
      <c r="B144" s="3" t="s">
        <v>49</v>
      </c>
      <c r="C144" s="3" t="s">
        <v>310</v>
      </c>
      <c r="D144" s="111" t="s">
        <v>311</v>
      </c>
      <c r="E144" s="111"/>
      <c r="F144" s="3" t="s">
        <v>56</v>
      </c>
      <c r="G144" s="30">
        <v>7.267</v>
      </c>
      <c r="H144" s="32">
        <v>0</v>
      </c>
    </row>
    <row r="145" spans="1:8" ht="15">
      <c r="A145" s="34"/>
      <c r="D145" s="80" t="s">
        <v>622</v>
      </c>
      <c r="E145" s="158" t="s">
        <v>48</v>
      </c>
      <c r="F145" s="158"/>
      <c r="G145" s="81">
        <v>6.82</v>
      </c>
      <c r="H145" s="82"/>
    </row>
    <row r="146" spans="1:8" ht="15">
      <c r="A146" s="2" t="s">
        <v>48</v>
      </c>
      <c r="B146" s="3" t="s">
        <v>48</v>
      </c>
      <c r="C146" s="3" t="s">
        <v>48</v>
      </c>
      <c r="D146" s="80" t="s">
        <v>623</v>
      </c>
      <c r="E146" s="158" t="s">
        <v>48</v>
      </c>
      <c r="F146" s="158"/>
      <c r="G146" s="81">
        <v>0.447</v>
      </c>
      <c r="H146" s="83" t="s">
        <v>48</v>
      </c>
    </row>
    <row r="147" spans="1:8" ht="15">
      <c r="A147" s="2" t="s">
        <v>312</v>
      </c>
      <c r="B147" s="3" t="s">
        <v>49</v>
      </c>
      <c r="C147" s="3" t="s">
        <v>313</v>
      </c>
      <c r="D147" s="111" t="s">
        <v>314</v>
      </c>
      <c r="E147" s="111"/>
      <c r="F147" s="3" t="s">
        <v>69</v>
      </c>
      <c r="G147" s="30">
        <v>7.79</v>
      </c>
      <c r="H147" s="32">
        <v>0</v>
      </c>
    </row>
    <row r="148" spans="1:8" ht="15">
      <c r="A148" s="34"/>
      <c r="D148" s="80" t="s">
        <v>624</v>
      </c>
      <c r="E148" s="158" t="s">
        <v>48</v>
      </c>
      <c r="F148" s="158"/>
      <c r="G148" s="81">
        <v>7.79</v>
      </c>
      <c r="H148" s="82"/>
    </row>
    <row r="149" spans="1:8" ht="15">
      <c r="A149" s="2" t="s">
        <v>315</v>
      </c>
      <c r="B149" s="3" t="s">
        <v>49</v>
      </c>
      <c r="C149" s="3" t="s">
        <v>316</v>
      </c>
      <c r="D149" s="111" t="s">
        <v>317</v>
      </c>
      <c r="E149" s="111"/>
      <c r="F149" s="3" t="s">
        <v>135</v>
      </c>
      <c r="G149" s="30">
        <v>25.70957</v>
      </c>
      <c r="H149" s="32">
        <v>0</v>
      </c>
    </row>
    <row r="150" spans="1:8" ht="15">
      <c r="A150" s="34"/>
      <c r="D150" s="80" t="s">
        <v>625</v>
      </c>
      <c r="E150" s="158" t="s">
        <v>48</v>
      </c>
      <c r="F150" s="158"/>
      <c r="G150" s="81">
        <v>25.70957</v>
      </c>
      <c r="H150" s="82"/>
    </row>
    <row r="151" spans="1:8" ht="15">
      <c r="A151" s="2" t="s">
        <v>318</v>
      </c>
      <c r="B151" s="3" t="s">
        <v>49</v>
      </c>
      <c r="C151" s="3" t="s">
        <v>319</v>
      </c>
      <c r="D151" s="111" t="s">
        <v>320</v>
      </c>
      <c r="E151" s="111"/>
      <c r="F151" s="3" t="s">
        <v>179</v>
      </c>
      <c r="G151" s="30">
        <v>125.2738</v>
      </c>
      <c r="H151" s="32">
        <v>0</v>
      </c>
    </row>
    <row r="152" spans="1:8" ht="15">
      <c r="A152" s="78" t="s">
        <v>48</v>
      </c>
      <c r="B152" s="26" t="s">
        <v>49</v>
      </c>
      <c r="C152" s="26" t="s">
        <v>321</v>
      </c>
      <c r="D152" s="136" t="s">
        <v>322</v>
      </c>
      <c r="E152" s="136"/>
      <c r="F152" s="26" t="s">
        <v>48</v>
      </c>
      <c r="G152" s="10" t="s">
        <v>48</v>
      </c>
      <c r="H152" s="79" t="s">
        <v>48</v>
      </c>
    </row>
    <row r="153" spans="1:8" ht="15">
      <c r="A153" s="2" t="s">
        <v>323</v>
      </c>
      <c r="B153" s="3" t="s">
        <v>49</v>
      </c>
      <c r="C153" s="3" t="s">
        <v>324</v>
      </c>
      <c r="D153" s="111" t="s">
        <v>325</v>
      </c>
      <c r="E153" s="111"/>
      <c r="F153" s="3" t="s">
        <v>69</v>
      </c>
      <c r="G153" s="30">
        <v>191.35</v>
      </c>
      <c r="H153" s="32">
        <v>0</v>
      </c>
    </row>
    <row r="154" spans="1:8" ht="15">
      <c r="A154" s="34"/>
      <c r="D154" s="80" t="s">
        <v>626</v>
      </c>
      <c r="E154" s="158" t="s">
        <v>48</v>
      </c>
      <c r="F154" s="158"/>
      <c r="G154" s="81">
        <v>90.74</v>
      </c>
      <c r="H154" s="82"/>
    </row>
    <row r="155" spans="1:8" ht="15">
      <c r="A155" s="2" t="s">
        <v>48</v>
      </c>
      <c r="B155" s="3" t="s">
        <v>48</v>
      </c>
      <c r="C155" s="3" t="s">
        <v>48</v>
      </c>
      <c r="D155" s="80" t="s">
        <v>627</v>
      </c>
      <c r="E155" s="158" t="s">
        <v>48</v>
      </c>
      <c r="F155" s="158"/>
      <c r="G155" s="81">
        <v>86.67</v>
      </c>
      <c r="H155" s="83" t="s">
        <v>48</v>
      </c>
    </row>
    <row r="156" spans="1:8" ht="15">
      <c r="A156" s="2" t="s">
        <v>48</v>
      </c>
      <c r="B156" s="3" t="s">
        <v>48</v>
      </c>
      <c r="C156" s="3" t="s">
        <v>48</v>
      </c>
      <c r="D156" s="80" t="s">
        <v>628</v>
      </c>
      <c r="E156" s="158" t="s">
        <v>48</v>
      </c>
      <c r="F156" s="158"/>
      <c r="G156" s="81">
        <v>13.94</v>
      </c>
      <c r="H156" s="83" t="s">
        <v>48</v>
      </c>
    </row>
    <row r="157" spans="1:8" ht="15">
      <c r="A157" s="2" t="s">
        <v>329</v>
      </c>
      <c r="B157" s="3" t="s">
        <v>49</v>
      </c>
      <c r="C157" s="3" t="s">
        <v>330</v>
      </c>
      <c r="D157" s="111" t="s">
        <v>331</v>
      </c>
      <c r="E157" s="111"/>
      <c r="F157" s="3" t="s">
        <v>332</v>
      </c>
      <c r="G157" s="30">
        <v>1</v>
      </c>
      <c r="H157" s="32">
        <v>0</v>
      </c>
    </row>
    <row r="158" spans="1:8" ht="15">
      <c r="A158" s="2" t="s">
        <v>333</v>
      </c>
      <c r="B158" s="3" t="s">
        <v>49</v>
      </c>
      <c r="C158" s="3" t="s">
        <v>334</v>
      </c>
      <c r="D158" s="111" t="s">
        <v>335</v>
      </c>
      <c r="E158" s="111"/>
      <c r="F158" s="3" t="s">
        <v>332</v>
      </c>
      <c r="G158" s="30">
        <v>1</v>
      </c>
      <c r="H158" s="32">
        <v>0</v>
      </c>
    </row>
    <row r="159" spans="1:8" ht="15">
      <c r="A159" s="2" t="s">
        <v>336</v>
      </c>
      <c r="B159" s="3" t="s">
        <v>49</v>
      </c>
      <c r="C159" s="3" t="s">
        <v>337</v>
      </c>
      <c r="D159" s="111" t="s">
        <v>338</v>
      </c>
      <c r="E159" s="111"/>
      <c r="F159" s="3" t="s">
        <v>332</v>
      </c>
      <c r="G159" s="30">
        <v>1</v>
      </c>
      <c r="H159" s="32">
        <v>0</v>
      </c>
    </row>
    <row r="160" spans="1:8" ht="15">
      <c r="A160" s="2" t="s">
        <v>339</v>
      </c>
      <c r="B160" s="3" t="s">
        <v>49</v>
      </c>
      <c r="C160" s="3" t="s">
        <v>340</v>
      </c>
      <c r="D160" s="111" t="s">
        <v>341</v>
      </c>
      <c r="E160" s="111"/>
      <c r="F160" s="3" t="s">
        <v>332</v>
      </c>
      <c r="G160" s="30">
        <v>1</v>
      </c>
      <c r="H160" s="32">
        <v>0</v>
      </c>
    </row>
    <row r="161" spans="1:8" ht="27" customHeight="1">
      <c r="A161" s="34"/>
      <c r="C161" s="84" t="s">
        <v>231</v>
      </c>
      <c r="D161" s="137" t="s">
        <v>342</v>
      </c>
      <c r="E161" s="138"/>
      <c r="F161" s="138"/>
      <c r="G161" s="138"/>
      <c r="H161" s="82"/>
    </row>
    <row r="162" spans="1:8" ht="15">
      <c r="A162" s="2" t="s">
        <v>343</v>
      </c>
      <c r="B162" s="3" t="s">
        <v>49</v>
      </c>
      <c r="C162" s="3" t="s">
        <v>344</v>
      </c>
      <c r="D162" s="111" t="s">
        <v>345</v>
      </c>
      <c r="E162" s="111"/>
      <c r="F162" s="3" t="s">
        <v>332</v>
      </c>
      <c r="G162" s="30">
        <v>1</v>
      </c>
      <c r="H162" s="32">
        <v>0</v>
      </c>
    </row>
    <row r="163" spans="1:8" ht="15">
      <c r="A163" s="2" t="s">
        <v>346</v>
      </c>
      <c r="B163" s="3" t="s">
        <v>49</v>
      </c>
      <c r="C163" s="3" t="s">
        <v>347</v>
      </c>
      <c r="D163" s="111" t="s">
        <v>348</v>
      </c>
      <c r="E163" s="111"/>
      <c r="F163" s="3" t="s">
        <v>332</v>
      </c>
      <c r="G163" s="30">
        <v>1</v>
      </c>
      <c r="H163" s="32">
        <v>0</v>
      </c>
    </row>
    <row r="164" spans="1:8" ht="15">
      <c r="A164" s="2" t="s">
        <v>349</v>
      </c>
      <c r="B164" s="3" t="s">
        <v>49</v>
      </c>
      <c r="C164" s="3" t="s">
        <v>350</v>
      </c>
      <c r="D164" s="111" t="s">
        <v>351</v>
      </c>
      <c r="E164" s="111"/>
      <c r="F164" s="3" t="s">
        <v>332</v>
      </c>
      <c r="G164" s="30">
        <v>1</v>
      </c>
      <c r="H164" s="32">
        <v>0</v>
      </c>
    </row>
    <row r="165" spans="1:8" ht="15">
      <c r="A165" s="2" t="s">
        <v>352</v>
      </c>
      <c r="B165" s="3" t="s">
        <v>49</v>
      </c>
      <c r="C165" s="3" t="s">
        <v>353</v>
      </c>
      <c r="D165" s="111" t="s">
        <v>354</v>
      </c>
      <c r="E165" s="111"/>
      <c r="F165" s="3" t="s">
        <v>332</v>
      </c>
      <c r="G165" s="30">
        <v>1</v>
      </c>
      <c r="H165" s="32">
        <v>0</v>
      </c>
    </row>
    <row r="166" spans="1:8" ht="13.5" customHeight="1">
      <c r="A166" s="34"/>
      <c r="C166" s="84" t="s">
        <v>231</v>
      </c>
      <c r="D166" s="137" t="s">
        <v>355</v>
      </c>
      <c r="E166" s="138"/>
      <c r="F166" s="138"/>
      <c r="G166" s="138"/>
      <c r="H166" s="82"/>
    </row>
    <row r="167" spans="1:8" ht="15">
      <c r="A167" s="78" t="s">
        <v>48</v>
      </c>
      <c r="B167" s="26" t="s">
        <v>49</v>
      </c>
      <c r="C167" s="26" t="s">
        <v>356</v>
      </c>
      <c r="D167" s="136" t="s">
        <v>357</v>
      </c>
      <c r="E167" s="136"/>
      <c r="F167" s="26" t="s">
        <v>48</v>
      </c>
      <c r="G167" s="10" t="s">
        <v>48</v>
      </c>
      <c r="H167" s="79" t="s">
        <v>48</v>
      </c>
    </row>
    <row r="168" spans="1:8" ht="15">
      <c r="A168" s="2" t="s">
        <v>358</v>
      </c>
      <c r="B168" s="3" t="s">
        <v>49</v>
      </c>
      <c r="C168" s="3" t="s">
        <v>359</v>
      </c>
      <c r="D168" s="111" t="s">
        <v>360</v>
      </c>
      <c r="E168" s="111"/>
      <c r="F168" s="3" t="s">
        <v>69</v>
      </c>
      <c r="G168" s="30">
        <v>7.79</v>
      </c>
      <c r="H168" s="32">
        <v>0</v>
      </c>
    </row>
    <row r="169" spans="1:8" ht="15">
      <c r="A169" s="78" t="s">
        <v>48</v>
      </c>
      <c r="B169" s="26" t="s">
        <v>49</v>
      </c>
      <c r="C169" s="26" t="s">
        <v>362</v>
      </c>
      <c r="D169" s="136" t="s">
        <v>363</v>
      </c>
      <c r="E169" s="136"/>
      <c r="F169" s="26" t="s">
        <v>48</v>
      </c>
      <c r="G169" s="10" t="s">
        <v>48</v>
      </c>
      <c r="H169" s="79" t="s">
        <v>48</v>
      </c>
    </row>
    <row r="170" spans="1:8" ht="15">
      <c r="A170" s="2" t="s">
        <v>364</v>
      </c>
      <c r="B170" s="3" t="s">
        <v>49</v>
      </c>
      <c r="C170" s="3" t="s">
        <v>365</v>
      </c>
      <c r="D170" s="111" t="s">
        <v>366</v>
      </c>
      <c r="E170" s="111"/>
      <c r="F170" s="3" t="s">
        <v>135</v>
      </c>
      <c r="G170" s="30">
        <v>4</v>
      </c>
      <c r="H170" s="32">
        <v>0</v>
      </c>
    </row>
    <row r="171" spans="1:8" ht="15">
      <c r="A171" s="78" t="s">
        <v>48</v>
      </c>
      <c r="B171" s="26" t="s">
        <v>49</v>
      </c>
      <c r="C171" s="26" t="s">
        <v>368</v>
      </c>
      <c r="D171" s="136" t="s">
        <v>369</v>
      </c>
      <c r="E171" s="136"/>
      <c r="F171" s="26" t="s">
        <v>48</v>
      </c>
      <c r="G171" s="10" t="s">
        <v>48</v>
      </c>
      <c r="H171" s="79" t="s">
        <v>48</v>
      </c>
    </row>
    <row r="172" spans="1:8" ht="15">
      <c r="A172" s="2" t="s">
        <v>370</v>
      </c>
      <c r="B172" s="3" t="s">
        <v>49</v>
      </c>
      <c r="C172" s="3" t="s">
        <v>371</v>
      </c>
      <c r="D172" s="111" t="s">
        <v>372</v>
      </c>
      <c r="E172" s="111"/>
      <c r="F172" s="3" t="s">
        <v>102</v>
      </c>
      <c r="G172" s="30">
        <v>328.7131</v>
      </c>
      <c r="H172" s="32">
        <v>0</v>
      </c>
    </row>
    <row r="173" spans="1:8" ht="15">
      <c r="A173" s="78" t="s">
        <v>48</v>
      </c>
      <c r="B173" s="26" t="s">
        <v>49</v>
      </c>
      <c r="C173" s="26" t="s">
        <v>374</v>
      </c>
      <c r="D173" s="136" t="s">
        <v>375</v>
      </c>
      <c r="E173" s="136"/>
      <c r="F173" s="26" t="s">
        <v>48</v>
      </c>
      <c r="G173" s="10" t="s">
        <v>48</v>
      </c>
      <c r="H173" s="79" t="s">
        <v>48</v>
      </c>
    </row>
    <row r="174" spans="1:8" ht="15">
      <c r="A174" s="2" t="s">
        <v>376</v>
      </c>
      <c r="B174" s="3" t="s">
        <v>49</v>
      </c>
      <c r="C174" s="3" t="s">
        <v>377</v>
      </c>
      <c r="D174" s="111" t="s">
        <v>378</v>
      </c>
      <c r="E174" s="111"/>
      <c r="F174" s="3" t="s">
        <v>102</v>
      </c>
      <c r="G174" s="30">
        <v>286.2728</v>
      </c>
      <c r="H174" s="32">
        <v>0</v>
      </c>
    </row>
    <row r="175" spans="1:8" ht="15">
      <c r="A175" s="2" t="s">
        <v>380</v>
      </c>
      <c r="B175" s="3" t="s">
        <v>49</v>
      </c>
      <c r="C175" s="3" t="s">
        <v>381</v>
      </c>
      <c r="D175" s="111" t="s">
        <v>382</v>
      </c>
      <c r="E175" s="111"/>
      <c r="F175" s="3" t="s">
        <v>102</v>
      </c>
      <c r="G175" s="30">
        <v>286.2728</v>
      </c>
      <c r="H175" s="32">
        <v>0</v>
      </c>
    </row>
    <row r="176" spans="1:8" ht="15">
      <c r="A176" s="2" t="s">
        <v>383</v>
      </c>
      <c r="B176" s="3" t="s">
        <v>49</v>
      </c>
      <c r="C176" s="3" t="s">
        <v>384</v>
      </c>
      <c r="D176" s="111" t="s">
        <v>385</v>
      </c>
      <c r="E176" s="111"/>
      <c r="F176" s="3" t="s">
        <v>102</v>
      </c>
      <c r="G176" s="30">
        <v>3149.0008</v>
      </c>
      <c r="H176" s="32">
        <v>0</v>
      </c>
    </row>
    <row r="177" spans="1:8" ht="15">
      <c r="A177" s="34"/>
      <c r="D177" s="80" t="s">
        <v>629</v>
      </c>
      <c r="E177" s="158" t="s">
        <v>48</v>
      </c>
      <c r="F177" s="158"/>
      <c r="G177" s="81">
        <v>3149.0008</v>
      </c>
      <c r="H177" s="82"/>
    </row>
    <row r="178" spans="1:8" ht="15">
      <c r="A178" s="2" t="s">
        <v>386</v>
      </c>
      <c r="B178" s="3" t="s">
        <v>49</v>
      </c>
      <c r="C178" s="3" t="s">
        <v>387</v>
      </c>
      <c r="D178" s="111" t="s">
        <v>388</v>
      </c>
      <c r="E178" s="111"/>
      <c r="F178" s="3" t="s">
        <v>102</v>
      </c>
      <c r="G178" s="30">
        <v>286.2728</v>
      </c>
      <c r="H178" s="32">
        <v>0</v>
      </c>
    </row>
    <row r="179" spans="1:8" ht="15">
      <c r="A179" s="2" t="s">
        <v>389</v>
      </c>
      <c r="B179" s="3" t="s">
        <v>49</v>
      </c>
      <c r="C179" s="3" t="s">
        <v>390</v>
      </c>
      <c r="D179" s="111" t="s">
        <v>391</v>
      </c>
      <c r="E179" s="111"/>
      <c r="F179" s="3" t="s">
        <v>102</v>
      </c>
      <c r="G179" s="30">
        <v>286.2728</v>
      </c>
      <c r="H179" s="32">
        <v>0</v>
      </c>
    </row>
    <row r="180" spans="1:8" ht="15">
      <c r="A180" s="2" t="s">
        <v>392</v>
      </c>
      <c r="B180" s="3" t="s">
        <v>49</v>
      </c>
      <c r="C180" s="3" t="s">
        <v>393</v>
      </c>
      <c r="D180" s="111" t="s">
        <v>394</v>
      </c>
      <c r="E180" s="111"/>
      <c r="F180" s="3" t="s">
        <v>102</v>
      </c>
      <c r="G180" s="30">
        <v>286.2728</v>
      </c>
      <c r="H180" s="32">
        <v>0</v>
      </c>
    </row>
    <row r="181" spans="1:8" ht="15">
      <c r="A181" s="78" t="s">
        <v>48</v>
      </c>
      <c r="B181" s="26" t="s">
        <v>395</v>
      </c>
      <c r="C181" s="26" t="s">
        <v>48</v>
      </c>
      <c r="D181" s="136" t="s">
        <v>396</v>
      </c>
      <c r="E181" s="136"/>
      <c r="F181" s="26" t="s">
        <v>48</v>
      </c>
      <c r="G181" s="10" t="s">
        <v>48</v>
      </c>
      <c r="H181" s="79" t="s">
        <v>48</v>
      </c>
    </row>
    <row r="182" spans="1:8" ht="15">
      <c r="A182" s="78" t="s">
        <v>48</v>
      </c>
      <c r="B182" s="26" t="s">
        <v>395</v>
      </c>
      <c r="C182" s="26" t="s">
        <v>51</v>
      </c>
      <c r="D182" s="136" t="s">
        <v>52</v>
      </c>
      <c r="E182" s="136"/>
      <c r="F182" s="26" t="s">
        <v>48</v>
      </c>
      <c r="G182" s="10" t="s">
        <v>48</v>
      </c>
      <c r="H182" s="79" t="s">
        <v>48</v>
      </c>
    </row>
    <row r="183" spans="1:8" ht="15">
      <c r="A183" s="2" t="s">
        <v>397</v>
      </c>
      <c r="B183" s="3" t="s">
        <v>395</v>
      </c>
      <c r="C183" s="3" t="s">
        <v>398</v>
      </c>
      <c r="D183" s="111" t="s">
        <v>399</v>
      </c>
      <c r="E183" s="111"/>
      <c r="F183" s="3" t="s">
        <v>56</v>
      </c>
      <c r="G183" s="30">
        <v>400</v>
      </c>
      <c r="H183" s="32">
        <v>0</v>
      </c>
    </row>
    <row r="184" spans="1:8" ht="15">
      <c r="A184" s="34"/>
      <c r="D184" s="80" t="s">
        <v>630</v>
      </c>
      <c r="E184" s="158" t="s">
        <v>631</v>
      </c>
      <c r="F184" s="158"/>
      <c r="G184" s="81">
        <v>400</v>
      </c>
      <c r="H184" s="82"/>
    </row>
    <row r="185" spans="1:8" ht="15">
      <c r="A185" s="78" t="s">
        <v>48</v>
      </c>
      <c r="B185" s="26" t="s">
        <v>395</v>
      </c>
      <c r="C185" s="26" t="s">
        <v>70</v>
      </c>
      <c r="D185" s="136" t="s">
        <v>71</v>
      </c>
      <c r="E185" s="136"/>
      <c r="F185" s="26" t="s">
        <v>48</v>
      </c>
      <c r="G185" s="10" t="s">
        <v>48</v>
      </c>
      <c r="H185" s="79" t="s">
        <v>48</v>
      </c>
    </row>
    <row r="186" spans="1:8" ht="15">
      <c r="A186" s="2" t="s">
        <v>402</v>
      </c>
      <c r="B186" s="3" t="s">
        <v>395</v>
      </c>
      <c r="C186" s="3" t="s">
        <v>73</v>
      </c>
      <c r="D186" s="111" t="s">
        <v>74</v>
      </c>
      <c r="E186" s="111"/>
      <c r="F186" s="3" t="s">
        <v>75</v>
      </c>
      <c r="G186" s="30">
        <v>50.25</v>
      </c>
      <c r="H186" s="32">
        <v>0</v>
      </c>
    </row>
    <row r="187" spans="1:8" ht="15">
      <c r="A187" s="34"/>
      <c r="D187" s="80" t="s">
        <v>632</v>
      </c>
      <c r="E187" s="158" t="s">
        <v>633</v>
      </c>
      <c r="F187" s="158"/>
      <c r="G187" s="81">
        <v>50.25</v>
      </c>
      <c r="H187" s="82"/>
    </row>
    <row r="188" spans="1:8" ht="15">
      <c r="A188" s="78" t="s">
        <v>48</v>
      </c>
      <c r="B188" s="26" t="s">
        <v>395</v>
      </c>
      <c r="C188" s="26" t="s">
        <v>99</v>
      </c>
      <c r="D188" s="136" t="s">
        <v>403</v>
      </c>
      <c r="E188" s="136"/>
      <c r="F188" s="26" t="s">
        <v>48</v>
      </c>
      <c r="G188" s="10" t="s">
        <v>48</v>
      </c>
      <c r="H188" s="79" t="s">
        <v>48</v>
      </c>
    </row>
    <row r="189" spans="1:8" ht="15">
      <c r="A189" s="2" t="s">
        <v>404</v>
      </c>
      <c r="B189" s="3" t="s">
        <v>395</v>
      </c>
      <c r="C189" s="3" t="s">
        <v>405</v>
      </c>
      <c r="D189" s="111" t="s">
        <v>406</v>
      </c>
      <c r="E189" s="111"/>
      <c r="F189" s="3" t="s">
        <v>75</v>
      </c>
      <c r="G189" s="30">
        <v>1.71</v>
      </c>
      <c r="H189" s="32">
        <v>0</v>
      </c>
    </row>
    <row r="190" spans="1:8" ht="15">
      <c r="A190" s="34"/>
      <c r="D190" s="80" t="s">
        <v>634</v>
      </c>
      <c r="E190" s="158" t="s">
        <v>635</v>
      </c>
      <c r="F190" s="158"/>
      <c r="G190" s="81">
        <v>1.71</v>
      </c>
      <c r="H190" s="82"/>
    </row>
    <row r="191" spans="1:8" ht="15">
      <c r="A191" s="78" t="s">
        <v>48</v>
      </c>
      <c r="B191" s="26" t="s">
        <v>395</v>
      </c>
      <c r="C191" s="26" t="s">
        <v>103</v>
      </c>
      <c r="D191" s="136" t="s">
        <v>104</v>
      </c>
      <c r="E191" s="136"/>
      <c r="F191" s="26" t="s">
        <v>48</v>
      </c>
      <c r="G191" s="10" t="s">
        <v>48</v>
      </c>
      <c r="H191" s="79" t="s">
        <v>48</v>
      </c>
    </row>
    <row r="192" spans="1:8" ht="15">
      <c r="A192" s="2" t="s">
        <v>321</v>
      </c>
      <c r="B192" s="3" t="s">
        <v>395</v>
      </c>
      <c r="C192" s="3" t="s">
        <v>408</v>
      </c>
      <c r="D192" s="111" t="s">
        <v>409</v>
      </c>
      <c r="E192" s="111"/>
      <c r="F192" s="3" t="s">
        <v>75</v>
      </c>
      <c r="G192" s="30">
        <v>2.16</v>
      </c>
      <c r="H192" s="32">
        <v>0</v>
      </c>
    </row>
    <row r="193" spans="1:8" ht="15">
      <c r="A193" s="34"/>
      <c r="D193" s="80" t="s">
        <v>587</v>
      </c>
      <c r="E193" s="158" t="s">
        <v>636</v>
      </c>
      <c r="F193" s="158"/>
      <c r="G193" s="81">
        <v>2.16</v>
      </c>
      <c r="H193" s="82"/>
    </row>
    <row r="194" spans="1:8" ht="15">
      <c r="A194" s="78" t="s">
        <v>48</v>
      </c>
      <c r="B194" s="26" t="s">
        <v>395</v>
      </c>
      <c r="C194" s="26" t="s">
        <v>109</v>
      </c>
      <c r="D194" s="136" t="s">
        <v>110</v>
      </c>
      <c r="E194" s="136"/>
      <c r="F194" s="26" t="s">
        <v>48</v>
      </c>
      <c r="G194" s="10" t="s">
        <v>48</v>
      </c>
      <c r="H194" s="79" t="s">
        <v>48</v>
      </c>
    </row>
    <row r="195" spans="1:8" ht="15">
      <c r="A195" s="2" t="s">
        <v>410</v>
      </c>
      <c r="B195" s="3" t="s">
        <v>395</v>
      </c>
      <c r="C195" s="3" t="s">
        <v>112</v>
      </c>
      <c r="D195" s="111" t="s">
        <v>113</v>
      </c>
      <c r="E195" s="111"/>
      <c r="F195" s="3" t="s">
        <v>56</v>
      </c>
      <c r="G195" s="30">
        <v>735</v>
      </c>
      <c r="H195" s="32">
        <v>0</v>
      </c>
    </row>
    <row r="196" spans="1:8" ht="15">
      <c r="A196" s="34"/>
      <c r="D196" s="80" t="s">
        <v>637</v>
      </c>
      <c r="E196" s="158" t="s">
        <v>48</v>
      </c>
      <c r="F196" s="158"/>
      <c r="G196" s="81">
        <v>735</v>
      </c>
      <c r="H196" s="82"/>
    </row>
    <row r="197" spans="1:8" ht="15">
      <c r="A197" s="2" t="s">
        <v>411</v>
      </c>
      <c r="B197" s="3" t="s">
        <v>395</v>
      </c>
      <c r="C197" s="3" t="s">
        <v>115</v>
      </c>
      <c r="D197" s="111" t="s">
        <v>116</v>
      </c>
      <c r="E197" s="111"/>
      <c r="F197" s="3" t="s">
        <v>56</v>
      </c>
      <c r="G197" s="30">
        <v>735</v>
      </c>
      <c r="H197" s="32">
        <v>0</v>
      </c>
    </row>
    <row r="198" spans="1:8" ht="15">
      <c r="A198" s="34"/>
      <c r="D198" s="80" t="s">
        <v>637</v>
      </c>
      <c r="E198" s="158" t="s">
        <v>48</v>
      </c>
      <c r="F198" s="158"/>
      <c r="G198" s="81">
        <v>735</v>
      </c>
      <c r="H198" s="82"/>
    </row>
    <row r="199" spans="1:8" ht="15">
      <c r="A199" s="2" t="s">
        <v>412</v>
      </c>
      <c r="B199" s="3" t="s">
        <v>395</v>
      </c>
      <c r="C199" s="3" t="s">
        <v>117</v>
      </c>
      <c r="D199" s="111" t="s">
        <v>118</v>
      </c>
      <c r="E199" s="111"/>
      <c r="F199" s="3" t="s">
        <v>56</v>
      </c>
      <c r="G199" s="30">
        <v>735</v>
      </c>
      <c r="H199" s="32">
        <v>0</v>
      </c>
    </row>
    <row r="200" spans="1:8" ht="15">
      <c r="A200" s="34"/>
      <c r="D200" s="80" t="s">
        <v>637</v>
      </c>
      <c r="E200" s="158" t="s">
        <v>48</v>
      </c>
      <c r="F200" s="158"/>
      <c r="G200" s="81">
        <v>735</v>
      </c>
      <c r="H200" s="82"/>
    </row>
    <row r="201" spans="1:8" ht="15">
      <c r="A201" s="2" t="s">
        <v>413</v>
      </c>
      <c r="B201" s="3" t="s">
        <v>395</v>
      </c>
      <c r="C201" s="3" t="s">
        <v>119</v>
      </c>
      <c r="D201" s="111" t="s">
        <v>120</v>
      </c>
      <c r="E201" s="111"/>
      <c r="F201" s="3" t="s">
        <v>56</v>
      </c>
      <c r="G201" s="30">
        <v>735</v>
      </c>
      <c r="H201" s="32">
        <v>0</v>
      </c>
    </row>
    <row r="202" spans="1:8" ht="15">
      <c r="A202" s="34"/>
      <c r="D202" s="80" t="s">
        <v>637</v>
      </c>
      <c r="E202" s="158" t="s">
        <v>48</v>
      </c>
      <c r="F202" s="158"/>
      <c r="G202" s="81">
        <v>735</v>
      </c>
      <c r="H202" s="82"/>
    </row>
    <row r="203" spans="1:8" ht="15">
      <c r="A203" s="2" t="s">
        <v>356</v>
      </c>
      <c r="B203" s="3" t="s">
        <v>395</v>
      </c>
      <c r="C203" s="3" t="s">
        <v>129</v>
      </c>
      <c r="D203" s="111" t="s">
        <v>130</v>
      </c>
      <c r="E203" s="111"/>
      <c r="F203" s="3" t="s">
        <v>131</v>
      </c>
      <c r="G203" s="30">
        <v>22.05</v>
      </c>
      <c r="H203" s="32">
        <v>0</v>
      </c>
    </row>
    <row r="204" spans="1:8" ht="15">
      <c r="A204" s="34"/>
      <c r="D204" s="80" t="s">
        <v>638</v>
      </c>
      <c r="E204" s="158" t="s">
        <v>48</v>
      </c>
      <c r="F204" s="158"/>
      <c r="G204" s="81">
        <v>22.05</v>
      </c>
      <c r="H204" s="82"/>
    </row>
    <row r="205" spans="1:8" ht="15">
      <c r="A205" s="2" t="s">
        <v>362</v>
      </c>
      <c r="B205" s="3" t="s">
        <v>395</v>
      </c>
      <c r="C205" s="3" t="s">
        <v>125</v>
      </c>
      <c r="D205" s="111" t="s">
        <v>126</v>
      </c>
      <c r="E205" s="111"/>
      <c r="F205" s="3" t="s">
        <v>127</v>
      </c>
      <c r="G205" s="30">
        <v>7.35</v>
      </c>
      <c r="H205" s="32">
        <v>0</v>
      </c>
    </row>
    <row r="206" spans="1:8" ht="15">
      <c r="A206" s="34"/>
      <c r="D206" s="80" t="s">
        <v>639</v>
      </c>
      <c r="E206" s="158" t="s">
        <v>48</v>
      </c>
      <c r="F206" s="158"/>
      <c r="G206" s="81">
        <v>7.35</v>
      </c>
      <c r="H206" s="82"/>
    </row>
    <row r="207" spans="1:8" ht="15">
      <c r="A207" s="2" t="s">
        <v>414</v>
      </c>
      <c r="B207" s="3" t="s">
        <v>395</v>
      </c>
      <c r="C207" s="3" t="s">
        <v>122</v>
      </c>
      <c r="D207" s="111" t="s">
        <v>123</v>
      </c>
      <c r="E207" s="111"/>
      <c r="F207" s="3" t="s">
        <v>56</v>
      </c>
      <c r="G207" s="30">
        <v>335</v>
      </c>
      <c r="H207" s="32">
        <v>0</v>
      </c>
    </row>
    <row r="208" spans="1:8" ht="15">
      <c r="A208" s="34"/>
      <c r="D208" s="80" t="s">
        <v>640</v>
      </c>
      <c r="E208" s="158" t="s">
        <v>633</v>
      </c>
      <c r="F208" s="158"/>
      <c r="G208" s="81">
        <v>335</v>
      </c>
      <c r="H208" s="82"/>
    </row>
    <row r="209" spans="1:8" ht="15">
      <c r="A209" s="2" t="s">
        <v>415</v>
      </c>
      <c r="B209" s="3" t="s">
        <v>395</v>
      </c>
      <c r="C209" s="3" t="s">
        <v>416</v>
      </c>
      <c r="D209" s="111" t="s">
        <v>417</v>
      </c>
      <c r="E209" s="111"/>
      <c r="F209" s="3" t="s">
        <v>135</v>
      </c>
      <c r="G209" s="30">
        <v>595</v>
      </c>
      <c r="H209" s="32">
        <v>0</v>
      </c>
    </row>
    <row r="210" spans="1:8" ht="15">
      <c r="A210" s="2" t="s">
        <v>418</v>
      </c>
      <c r="B210" s="3" t="s">
        <v>395</v>
      </c>
      <c r="C210" s="3" t="s">
        <v>419</v>
      </c>
      <c r="D210" s="111" t="s">
        <v>420</v>
      </c>
      <c r="E210" s="111"/>
      <c r="F210" s="3" t="s">
        <v>135</v>
      </c>
      <c r="G210" s="30">
        <v>595</v>
      </c>
      <c r="H210" s="32">
        <v>0</v>
      </c>
    </row>
    <row r="211" spans="1:8" ht="15">
      <c r="A211" s="34"/>
      <c r="D211" s="80" t="s">
        <v>641</v>
      </c>
      <c r="E211" s="158" t="s">
        <v>48</v>
      </c>
      <c r="F211" s="158"/>
      <c r="G211" s="81">
        <v>595</v>
      </c>
      <c r="H211" s="82"/>
    </row>
    <row r="212" spans="1:8" ht="13.5" customHeight="1">
      <c r="A212" s="34"/>
      <c r="C212" s="84" t="s">
        <v>231</v>
      </c>
      <c r="D212" s="137" t="s">
        <v>421</v>
      </c>
      <c r="E212" s="138"/>
      <c r="F212" s="138"/>
      <c r="G212" s="138"/>
      <c r="H212" s="82"/>
    </row>
    <row r="213" spans="1:8" ht="15">
      <c r="A213" s="2" t="s">
        <v>422</v>
      </c>
      <c r="B213" s="3" t="s">
        <v>395</v>
      </c>
      <c r="C213" s="3" t="s">
        <v>423</v>
      </c>
      <c r="D213" s="111" t="s">
        <v>424</v>
      </c>
      <c r="E213" s="111"/>
      <c r="F213" s="3" t="s">
        <v>135</v>
      </c>
      <c r="G213" s="30">
        <v>595</v>
      </c>
      <c r="H213" s="32">
        <v>0</v>
      </c>
    </row>
    <row r="214" spans="1:8" ht="15">
      <c r="A214" s="2" t="s">
        <v>425</v>
      </c>
      <c r="B214" s="3" t="s">
        <v>395</v>
      </c>
      <c r="C214" s="3" t="s">
        <v>177</v>
      </c>
      <c r="D214" s="111" t="s">
        <v>178</v>
      </c>
      <c r="E214" s="111"/>
      <c r="F214" s="3" t="s">
        <v>179</v>
      </c>
      <c r="G214" s="30">
        <v>5</v>
      </c>
      <c r="H214" s="32">
        <v>0</v>
      </c>
    </row>
    <row r="215" spans="1:8" ht="15">
      <c r="A215" s="78" t="s">
        <v>48</v>
      </c>
      <c r="B215" s="26" t="s">
        <v>395</v>
      </c>
      <c r="C215" s="26" t="s">
        <v>152</v>
      </c>
      <c r="D215" s="136" t="s">
        <v>197</v>
      </c>
      <c r="E215" s="136"/>
      <c r="F215" s="26" t="s">
        <v>48</v>
      </c>
      <c r="G215" s="10" t="s">
        <v>48</v>
      </c>
      <c r="H215" s="79" t="s">
        <v>48</v>
      </c>
    </row>
    <row r="216" spans="1:8" ht="15">
      <c r="A216" s="2" t="s">
        <v>426</v>
      </c>
      <c r="B216" s="3" t="s">
        <v>395</v>
      </c>
      <c r="C216" s="3" t="s">
        <v>199</v>
      </c>
      <c r="D216" s="111" t="s">
        <v>200</v>
      </c>
      <c r="E216" s="111"/>
      <c r="F216" s="3" t="s">
        <v>56</v>
      </c>
      <c r="G216" s="30">
        <v>400</v>
      </c>
      <c r="H216" s="32">
        <v>0</v>
      </c>
    </row>
    <row r="217" spans="1:8" ht="15">
      <c r="A217" s="34"/>
      <c r="D217" s="80" t="s">
        <v>630</v>
      </c>
      <c r="E217" s="158" t="s">
        <v>642</v>
      </c>
      <c r="F217" s="158"/>
      <c r="G217" s="81">
        <v>400</v>
      </c>
      <c r="H217" s="82"/>
    </row>
    <row r="218" spans="1:8" ht="15">
      <c r="A218" s="2" t="s">
        <v>428</v>
      </c>
      <c r="B218" s="3" t="s">
        <v>395</v>
      </c>
      <c r="C218" s="3" t="s">
        <v>204</v>
      </c>
      <c r="D218" s="111" t="s">
        <v>205</v>
      </c>
      <c r="E218" s="111"/>
      <c r="F218" s="3" t="s">
        <v>56</v>
      </c>
      <c r="G218" s="30">
        <v>420</v>
      </c>
      <c r="H218" s="32">
        <v>0</v>
      </c>
    </row>
    <row r="219" spans="1:8" ht="15">
      <c r="A219" s="34"/>
      <c r="D219" s="80" t="s">
        <v>643</v>
      </c>
      <c r="E219" s="158" t="s">
        <v>642</v>
      </c>
      <c r="F219" s="158"/>
      <c r="G219" s="81">
        <v>420</v>
      </c>
      <c r="H219" s="82"/>
    </row>
    <row r="220" spans="1:8" ht="15">
      <c r="A220" s="78" t="s">
        <v>48</v>
      </c>
      <c r="B220" s="26" t="s">
        <v>395</v>
      </c>
      <c r="C220" s="26" t="s">
        <v>167</v>
      </c>
      <c r="D220" s="136" t="s">
        <v>206</v>
      </c>
      <c r="E220" s="136"/>
      <c r="F220" s="26" t="s">
        <v>48</v>
      </c>
      <c r="G220" s="10" t="s">
        <v>48</v>
      </c>
      <c r="H220" s="79" t="s">
        <v>48</v>
      </c>
    </row>
    <row r="221" spans="1:8" ht="15">
      <c r="A221" s="2" t="s">
        <v>429</v>
      </c>
      <c r="B221" s="3" t="s">
        <v>395</v>
      </c>
      <c r="C221" s="3" t="s">
        <v>430</v>
      </c>
      <c r="D221" s="111" t="s">
        <v>431</v>
      </c>
      <c r="E221" s="111"/>
      <c r="F221" s="3" t="s">
        <v>135</v>
      </c>
      <c r="G221" s="30">
        <v>34</v>
      </c>
      <c r="H221" s="32">
        <v>0</v>
      </c>
    </row>
    <row r="222" spans="1:8" ht="15">
      <c r="A222" s="2" t="s">
        <v>433</v>
      </c>
      <c r="B222" s="3" t="s">
        <v>395</v>
      </c>
      <c r="C222" s="3" t="s">
        <v>434</v>
      </c>
      <c r="D222" s="111" t="s">
        <v>435</v>
      </c>
      <c r="E222" s="111"/>
      <c r="F222" s="3" t="s">
        <v>135</v>
      </c>
      <c r="G222" s="30">
        <v>32</v>
      </c>
      <c r="H222" s="32">
        <v>0</v>
      </c>
    </row>
    <row r="223" spans="1:8" ht="13.5" customHeight="1">
      <c r="A223" s="34"/>
      <c r="C223" s="84" t="s">
        <v>231</v>
      </c>
      <c r="D223" s="137" t="s">
        <v>436</v>
      </c>
      <c r="E223" s="138"/>
      <c r="F223" s="138"/>
      <c r="G223" s="138"/>
      <c r="H223" s="82"/>
    </row>
    <row r="224" spans="1:8" ht="15">
      <c r="A224" s="2" t="s">
        <v>437</v>
      </c>
      <c r="B224" s="3" t="s">
        <v>395</v>
      </c>
      <c r="C224" s="3" t="s">
        <v>434</v>
      </c>
      <c r="D224" s="111" t="s">
        <v>438</v>
      </c>
      <c r="E224" s="111"/>
      <c r="F224" s="3" t="s">
        <v>135</v>
      </c>
      <c r="G224" s="30">
        <v>2</v>
      </c>
      <c r="H224" s="32">
        <v>0</v>
      </c>
    </row>
    <row r="225" spans="1:8" ht="15">
      <c r="A225" s="2" t="s">
        <v>439</v>
      </c>
      <c r="B225" s="3" t="s">
        <v>395</v>
      </c>
      <c r="C225" s="3" t="s">
        <v>440</v>
      </c>
      <c r="D225" s="111" t="s">
        <v>441</v>
      </c>
      <c r="E225" s="111"/>
      <c r="F225" s="3" t="s">
        <v>135</v>
      </c>
      <c r="G225" s="30">
        <v>34</v>
      </c>
      <c r="H225" s="32">
        <v>0</v>
      </c>
    </row>
    <row r="226" spans="1:8" ht="15">
      <c r="A226" s="2" t="s">
        <v>442</v>
      </c>
      <c r="B226" s="3" t="s">
        <v>395</v>
      </c>
      <c r="C226" s="3" t="s">
        <v>443</v>
      </c>
      <c r="D226" s="111" t="s">
        <v>444</v>
      </c>
      <c r="E226" s="111"/>
      <c r="F226" s="3" t="s">
        <v>135</v>
      </c>
      <c r="G226" s="30">
        <v>34</v>
      </c>
      <c r="H226" s="32">
        <v>0</v>
      </c>
    </row>
    <row r="227" spans="1:8" ht="15">
      <c r="A227" s="78" t="s">
        <v>48</v>
      </c>
      <c r="B227" s="26" t="s">
        <v>395</v>
      </c>
      <c r="C227" s="26" t="s">
        <v>212</v>
      </c>
      <c r="D227" s="136" t="s">
        <v>213</v>
      </c>
      <c r="E227" s="136"/>
      <c r="F227" s="26" t="s">
        <v>48</v>
      </c>
      <c r="G227" s="10" t="s">
        <v>48</v>
      </c>
      <c r="H227" s="79" t="s">
        <v>48</v>
      </c>
    </row>
    <row r="228" spans="1:8" ht="15">
      <c r="A228" s="2" t="s">
        <v>445</v>
      </c>
      <c r="B228" s="3" t="s">
        <v>395</v>
      </c>
      <c r="C228" s="3" t="s">
        <v>446</v>
      </c>
      <c r="D228" s="111" t="s">
        <v>447</v>
      </c>
      <c r="E228" s="111"/>
      <c r="F228" s="3" t="s">
        <v>56</v>
      </c>
      <c r="G228" s="30">
        <v>400</v>
      </c>
      <c r="H228" s="32">
        <v>0</v>
      </c>
    </row>
    <row r="229" spans="1:8" ht="15">
      <c r="A229" s="34"/>
      <c r="D229" s="80" t="s">
        <v>630</v>
      </c>
      <c r="E229" s="158" t="s">
        <v>48</v>
      </c>
      <c r="F229" s="158"/>
      <c r="G229" s="81">
        <v>400</v>
      </c>
      <c r="H229" s="82"/>
    </row>
    <row r="230" spans="1:8" ht="15">
      <c r="A230" s="78" t="s">
        <v>48</v>
      </c>
      <c r="B230" s="26" t="s">
        <v>395</v>
      </c>
      <c r="C230" s="26" t="s">
        <v>274</v>
      </c>
      <c r="D230" s="136" t="s">
        <v>275</v>
      </c>
      <c r="E230" s="136"/>
      <c r="F230" s="26" t="s">
        <v>48</v>
      </c>
      <c r="G230" s="10" t="s">
        <v>48</v>
      </c>
      <c r="H230" s="79" t="s">
        <v>48</v>
      </c>
    </row>
    <row r="231" spans="1:8" ht="15">
      <c r="A231" s="2" t="s">
        <v>450</v>
      </c>
      <c r="B231" s="3" t="s">
        <v>395</v>
      </c>
      <c r="C231" s="3" t="s">
        <v>277</v>
      </c>
      <c r="D231" s="111" t="s">
        <v>278</v>
      </c>
      <c r="E231" s="111"/>
      <c r="F231" s="3" t="s">
        <v>131</v>
      </c>
      <c r="G231" s="30">
        <v>100</v>
      </c>
      <c r="H231" s="32">
        <v>0</v>
      </c>
    </row>
    <row r="232" spans="1:8" ht="15">
      <c r="A232" s="34"/>
      <c r="D232" s="80" t="s">
        <v>418</v>
      </c>
      <c r="E232" s="158" t="s">
        <v>644</v>
      </c>
      <c r="F232" s="158"/>
      <c r="G232" s="81">
        <v>100</v>
      </c>
      <c r="H232" s="82"/>
    </row>
    <row r="233" spans="1:8" ht="15">
      <c r="A233" s="2" t="s">
        <v>452</v>
      </c>
      <c r="B233" s="3" t="s">
        <v>395</v>
      </c>
      <c r="C233" s="3" t="s">
        <v>453</v>
      </c>
      <c r="D233" s="111" t="s">
        <v>454</v>
      </c>
      <c r="E233" s="111"/>
      <c r="F233" s="3" t="s">
        <v>135</v>
      </c>
      <c r="G233" s="30">
        <v>1</v>
      </c>
      <c r="H233" s="32">
        <v>0</v>
      </c>
    </row>
    <row r="234" spans="1:8" ht="15">
      <c r="A234" s="2" t="s">
        <v>455</v>
      </c>
      <c r="B234" s="3" t="s">
        <v>395</v>
      </c>
      <c r="C234" s="3" t="s">
        <v>456</v>
      </c>
      <c r="D234" s="111" t="s">
        <v>457</v>
      </c>
      <c r="E234" s="111"/>
      <c r="F234" s="3" t="s">
        <v>69</v>
      </c>
      <c r="G234" s="30">
        <v>90</v>
      </c>
      <c r="H234" s="32">
        <v>0</v>
      </c>
    </row>
    <row r="235" spans="1:8" ht="15">
      <c r="A235" s="2" t="s">
        <v>458</v>
      </c>
      <c r="B235" s="3" t="s">
        <v>395</v>
      </c>
      <c r="C235" s="3" t="s">
        <v>459</v>
      </c>
      <c r="D235" s="111" t="s">
        <v>460</v>
      </c>
      <c r="E235" s="111"/>
      <c r="F235" s="3" t="s">
        <v>135</v>
      </c>
      <c r="G235" s="30">
        <v>1</v>
      </c>
      <c r="H235" s="32">
        <v>0</v>
      </c>
    </row>
    <row r="236" spans="1:8" ht="121.5" customHeight="1">
      <c r="A236" s="34"/>
      <c r="C236" s="84" t="s">
        <v>231</v>
      </c>
      <c r="D236" s="137" t="s">
        <v>461</v>
      </c>
      <c r="E236" s="138"/>
      <c r="F236" s="138"/>
      <c r="G236" s="138"/>
      <c r="H236" s="82"/>
    </row>
    <row r="237" spans="1:8" ht="15">
      <c r="A237" s="2" t="s">
        <v>462</v>
      </c>
      <c r="B237" s="3" t="s">
        <v>395</v>
      </c>
      <c r="C237" s="3" t="s">
        <v>463</v>
      </c>
      <c r="D237" s="111" t="s">
        <v>464</v>
      </c>
      <c r="E237" s="111"/>
      <c r="F237" s="3" t="s">
        <v>135</v>
      </c>
      <c r="G237" s="30">
        <v>34</v>
      </c>
      <c r="H237" s="32">
        <v>0</v>
      </c>
    </row>
    <row r="238" spans="1:8" ht="15">
      <c r="A238" s="2" t="s">
        <v>465</v>
      </c>
      <c r="B238" s="3" t="s">
        <v>395</v>
      </c>
      <c r="C238" s="3" t="s">
        <v>466</v>
      </c>
      <c r="D238" s="111" t="s">
        <v>467</v>
      </c>
      <c r="E238" s="111"/>
      <c r="F238" s="3" t="s">
        <v>135</v>
      </c>
      <c r="G238" s="30">
        <v>136</v>
      </c>
      <c r="H238" s="32">
        <v>0</v>
      </c>
    </row>
    <row r="239" spans="1:8" ht="15">
      <c r="A239" s="2" t="s">
        <v>468</v>
      </c>
      <c r="B239" s="3" t="s">
        <v>395</v>
      </c>
      <c r="C239" s="3" t="s">
        <v>469</v>
      </c>
      <c r="D239" s="111" t="s">
        <v>470</v>
      </c>
      <c r="E239" s="111"/>
      <c r="F239" s="3" t="s">
        <v>332</v>
      </c>
      <c r="G239" s="30">
        <v>34</v>
      </c>
      <c r="H239" s="32">
        <v>0</v>
      </c>
    </row>
    <row r="240" spans="1:8" ht="15">
      <c r="A240" s="2" t="s">
        <v>472</v>
      </c>
      <c r="B240" s="3" t="s">
        <v>395</v>
      </c>
      <c r="C240" s="3" t="s">
        <v>473</v>
      </c>
      <c r="D240" s="111" t="s">
        <v>474</v>
      </c>
      <c r="E240" s="111"/>
      <c r="F240" s="3" t="s">
        <v>332</v>
      </c>
      <c r="G240" s="30">
        <v>2</v>
      </c>
      <c r="H240" s="32">
        <v>0</v>
      </c>
    </row>
    <row r="241" spans="1:8" ht="15">
      <c r="A241" s="2" t="s">
        <v>475</v>
      </c>
      <c r="B241" s="3" t="s">
        <v>395</v>
      </c>
      <c r="C241" s="3" t="s">
        <v>287</v>
      </c>
      <c r="D241" s="111" t="s">
        <v>288</v>
      </c>
      <c r="E241" s="111"/>
      <c r="F241" s="3" t="s">
        <v>179</v>
      </c>
      <c r="G241" s="30">
        <v>1413.07</v>
      </c>
      <c r="H241" s="32">
        <v>0</v>
      </c>
    </row>
    <row r="242" spans="1:8" ht="15">
      <c r="A242" s="78" t="s">
        <v>48</v>
      </c>
      <c r="B242" s="26" t="s">
        <v>395</v>
      </c>
      <c r="C242" s="26" t="s">
        <v>356</v>
      </c>
      <c r="D242" s="136" t="s">
        <v>357</v>
      </c>
      <c r="E242" s="136"/>
      <c r="F242" s="26" t="s">
        <v>48</v>
      </c>
      <c r="G242" s="10" t="s">
        <v>48</v>
      </c>
      <c r="H242" s="79" t="s">
        <v>48</v>
      </c>
    </row>
    <row r="243" spans="1:8" ht="15">
      <c r="A243" s="2" t="s">
        <v>476</v>
      </c>
      <c r="B243" s="3" t="s">
        <v>395</v>
      </c>
      <c r="C243" s="3" t="s">
        <v>477</v>
      </c>
      <c r="D243" s="111" t="s">
        <v>478</v>
      </c>
      <c r="E243" s="111"/>
      <c r="F243" s="3" t="s">
        <v>69</v>
      </c>
      <c r="G243" s="30">
        <v>90</v>
      </c>
      <c r="H243" s="32">
        <v>0</v>
      </c>
    </row>
    <row r="244" spans="1:8" ht="15">
      <c r="A244" s="78" t="s">
        <v>48</v>
      </c>
      <c r="B244" s="26" t="s">
        <v>395</v>
      </c>
      <c r="C244" s="26" t="s">
        <v>368</v>
      </c>
      <c r="D244" s="136" t="s">
        <v>369</v>
      </c>
      <c r="E244" s="136"/>
      <c r="F244" s="26" t="s">
        <v>48</v>
      </c>
      <c r="G244" s="10" t="s">
        <v>48</v>
      </c>
      <c r="H244" s="79" t="s">
        <v>48</v>
      </c>
    </row>
    <row r="245" spans="1:8" ht="15">
      <c r="A245" s="2" t="s">
        <v>480</v>
      </c>
      <c r="B245" s="3" t="s">
        <v>395</v>
      </c>
      <c r="C245" s="3" t="s">
        <v>371</v>
      </c>
      <c r="D245" s="111" t="s">
        <v>372</v>
      </c>
      <c r="E245" s="111"/>
      <c r="F245" s="3" t="s">
        <v>102</v>
      </c>
      <c r="G245" s="30">
        <v>176.4</v>
      </c>
      <c r="H245" s="32">
        <v>0</v>
      </c>
    </row>
    <row r="246" spans="1:8" ht="15">
      <c r="A246" s="78" t="s">
        <v>48</v>
      </c>
      <c r="B246" s="26" t="s">
        <v>395</v>
      </c>
      <c r="C246" s="26" t="s">
        <v>374</v>
      </c>
      <c r="D246" s="136" t="s">
        <v>375</v>
      </c>
      <c r="E246" s="136"/>
      <c r="F246" s="26" t="s">
        <v>48</v>
      </c>
      <c r="G246" s="10" t="s">
        <v>48</v>
      </c>
      <c r="H246" s="79" t="s">
        <v>48</v>
      </c>
    </row>
    <row r="247" spans="1:8" ht="15">
      <c r="A247" s="2" t="s">
        <v>481</v>
      </c>
      <c r="B247" s="3" t="s">
        <v>395</v>
      </c>
      <c r="C247" s="3" t="s">
        <v>377</v>
      </c>
      <c r="D247" s="111" t="s">
        <v>378</v>
      </c>
      <c r="E247" s="111"/>
      <c r="F247" s="3" t="s">
        <v>102</v>
      </c>
      <c r="G247" s="30">
        <v>178.3</v>
      </c>
      <c r="H247" s="32">
        <v>0</v>
      </c>
    </row>
    <row r="248" spans="1:8" ht="15">
      <c r="A248" s="2" t="s">
        <v>482</v>
      </c>
      <c r="B248" s="3" t="s">
        <v>395</v>
      </c>
      <c r="C248" s="3" t="s">
        <v>381</v>
      </c>
      <c r="D248" s="111" t="s">
        <v>382</v>
      </c>
      <c r="E248" s="111"/>
      <c r="F248" s="3" t="s">
        <v>102</v>
      </c>
      <c r="G248" s="30">
        <v>178.3</v>
      </c>
      <c r="H248" s="32">
        <v>0</v>
      </c>
    </row>
    <row r="249" spans="1:8" ht="15">
      <c r="A249" s="2" t="s">
        <v>483</v>
      </c>
      <c r="B249" s="3" t="s">
        <v>395</v>
      </c>
      <c r="C249" s="3" t="s">
        <v>384</v>
      </c>
      <c r="D249" s="111" t="s">
        <v>385</v>
      </c>
      <c r="E249" s="111"/>
      <c r="F249" s="3" t="s">
        <v>102</v>
      </c>
      <c r="G249" s="30">
        <v>1961.3</v>
      </c>
      <c r="H249" s="32">
        <v>0</v>
      </c>
    </row>
    <row r="250" spans="1:8" ht="15">
      <c r="A250" s="34"/>
      <c r="D250" s="80" t="s">
        <v>645</v>
      </c>
      <c r="E250" s="158" t="s">
        <v>48</v>
      </c>
      <c r="F250" s="158"/>
      <c r="G250" s="81">
        <v>1961.3</v>
      </c>
      <c r="H250" s="82"/>
    </row>
    <row r="251" spans="1:8" ht="15">
      <c r="A251" s="2" t="s">
        <v>484</v>
      </c>
      <c r="B251" s="3" t="s">
        <v>395</v>
      </c>
      <c r="C251" s="3" t="s">
        <v>387</v>
      </c>
      <c r="D251" s="111" t="s">
        <v>388</v>
      </c>
      <c r="E251" s="111"/>
      <c r="F251" s="3" t="s">
        <v>102</v>
      </c>
      <c r="G251" s="30">
        <v>178.3</v>
      </c>
      <c r="H251" s="32">
        <v>0</v>
      </c>
    </row>
    <row r="252" spans="1:8" ht="15">
      <c r="A252" s="2" t="s">
        <v>485</v>
      </c>
      <c r="B252" s="3" t="s">
        <v>395</v>
      </c>
      <c r="C252" s="3" t="s">
        <v>390</v>
      </c>
      <c r="D252" s="111" t="s">
        <v>391</v>
      </c>
      <c r="E252" s="111"/>
      <c r="F252" s="3" t="s">
        <v>102</v>
      </c>
      <c r="G252" s="30">
        <v>178.3</v>
      </c>
      <c r="H252" s="32">
        <v>0</v>
      </c>
    </row>
    <row r="253" spans="1:8" ht="15">
      <c r="A253" s="2" t="s">
        <v>486</v>
      </c>
      <c r="B253" s="3" t="s">
        <v>395</v>
      </c>
      <c r="C253" s="3" t="s">
        <v>393</v>
      </c>
      <c r="D253" s="111" t="s">
        <v>394</v>
      </c>
      <c r="E253" s="111"/>
      <c r="F253" s="3" t="s">
        <v>102</v>
      </c>
      <c r="G253" s="30">
        <v>178.3</v>
      </c>
      <c r="H253" s="32">
        <v>0</v>
      </c>
    </row>
    <row r="254" spans="1:8" ht="15">
      <c r="A254" s="78" t="s">
        <v>48</v>
      </c>
      <c r="B254" s="26" t="s">
        <v>487</v>
      </c>
      <c r="C254" s="26" t="s">
        <v>48</v>
      </c>
      <c r="D254" s="136" t="s">
        <v>488</v>
      </c>
      <c r="E254" s="136"/>
      <c r="F254" s="26" t="s">
        <v>48</v>
      </c>
      <c r="G254" s="10" t="s">
        <v>48</v>
      </c>
      <c r="H254" s="79" t="s">
        <v>48</v>
      </c>
    </row>
    <row r="255" spans="1:8" ht="15">
      <c r="A255" s="78" t="s">
        <v>48</v>
      </c>
      <c r="B255" s="26" t="s">
        <v>487</v>
      </c>
      <c r="C255" s="26" t="s">
        <v>489</v>
      </c>
      <c r="D255" s="136" t="s">
        <v>490</v>
      </c>
      <c r="E255" s="136"/>
      <c r="F255" s="26" t="s">
        <v>48</v>
      </c>
      <c r="G255" s="10" t="s">
        <v>48</v>
      </c>
      <c r="H255" s="79" t="s">
        <v>48</v>
      </c>
    </row>
    <row r="256" spans="1:8" ht="15">
      <c r="A256" s="2" t="s">
        <v>491</v>
      </c>
      <c r="B256" s="3" t="s">
        <v>487</v>
      </c>
      <c r="C256" s="3" t="s">
        <v>492</v>
      </c>
      <c r="D256" s="111" t="s">
        <v>493</v>
      </c>
      <c r="E256" s="111"/>
      <c r="F256" s="3" t="s">
        <v>332</v>
      </c>
      <c r="G256" s="30">
        <v>1</v>
      </c>
      <c r="H256" s="32">
        <v>0</v>
      </c>
    </row>
    <row r="257" spans="1:8" ht="15">
      <c r="A257" s="2" t="s">
        <v>497</v>
      </c>
      <c r="B257" s="3" t="s">
        <v>487</v>
      </c>
      <c r="C257" s="3" t="s">
        <v>498</v>
      </c>
      <c r="D257" s="111" t="s">
        <v>499</v>
      </c>
      <c r="E257" s="111"/>
      <c r="F257" s="3" t="s">
        <v>332</v>
      </c>
      <c r="G257" s="30">
        <v>1</v>
      </c>
      <c r="H257" s="32">
        <v>0</v>
      </c>
    </row>
    <row r="258" spans="1:8" ht="15">
      <c r="A258" s="2" t="s">
        <v>500</v>
      </c>
      <c r="B258" s="3" t="s">
        <v>487</v>
      </c>
      <c r="C258" s="3" t="s">
        <v>501</v>
      </c>
      <c r="D258" s="111" t="s">
        <v>502</v>
      </c>
      <c r="E258" s="111"/>
      <c r="F258" s="3" t="s">
        <v>332</v>
      </c>
      <c r="G258" s="30">
        <v>1</v>
      </c>
      <c r="H258" s="32">
        <v>0</v>
      </c>
    </row>
    <row r="259" spans="1:8" ht="15">
      <c r="A259" s="2" t="s">
        <v>503</v>
      </c>
      <c r="B259" s="3" t="s">
        <v>487</v>
      </c>
      <c r="C259" s="3" t="s">
        <v>504</v>
      </c>
      <c r="D259" s="111" t="s">
        <v>505</v>
      </c>
      <c r="E259" s="111"/>
      <c r="F259" s="3" t="s">
        <v>332</v>
      </c>
      <c r="G259" s="30">
        <v>1</v>
      </c>
      <c r="H259" s="32">
        <v>0</v>
      </c>
    </row>
    <row r="260" spans="1:8" ht="15">
      <c r="A260" s="2" t="s">
        <v>506</v>
      </c>
      <c r="B260" s="3" t="s">
        <v>487</v>
      </c>
      <c r="C260" s="3" t="s">
        <v>507</v>
      </c>
      <c r="D260" s="111" t="s">
        <v>508</v>
      </c>
      <c r="E260" s="111"/>
      <c r="F260" s="3" t="s">
        <v>285</v>
      </c>
      <c r="G260" s="30">
        <v>1</v>
      </c>
      <c r="H260" s="32">
        <v>0</v>
      </c>
    </row>
    <row r="261" spans="1:8" ht="15">
      <c r="A261" s="2" t="s">
        <v>509</v>
      </c>
      <c r="B261" s="3" t="s">
        <v>487</v>
      </c>
      <c r="C261" s="3" t="s">
        <v>510</v>
      </c>
      <c r="D261" s="111" t="s">
        <v>511</v>
      </c>
      <c r="E261" s="111"/>
      <c r="F261" s="3" t="s">
        <v>332</v>
      </c>
      <c r="G261" s="30">
        <v>1</v>
      </c>
      <c r="H261" s="32">
        <v>0</v>
      </c>
    </row>
    <row r="262" spans="1:8" ht="15">
      <c r="A262" s="78" t="s">
        <v>48</v>
      </c>
      <c r="B262" s="26" t="s">
        <v>487</v>
      </c>
      <c r="C262" s="26" t="s">
        <v>512</v>
      </c>
      <c r="D262" s="136" t="s">
        <v>513</v>
      </c>
      <c r="E262" s="136"/>
      <c r="F262" s="26" t="s">
        <v>48</v>
      </c>
      <c r="G262" s="10" t="s">
        <v>48</v>
      </c>
      <c r="H262" s="79" t="s">
        <v>48</v>
      </c>
    </row>
    <row r="263" spans="1:8" ht="15">
      <c r="A263" s="2" t="s">
        <v>514</v>
      </c>
      <c r="B263" s="3" t="s">
        <v>487</v>
      </c>
      <c r="C263" s="3" t="s">
        <v>515</v>
      </c>
      <c r="D263" s="111" t="s">
        <v>516</v>
      </c>
      <c r="E263" s="111"/>
      <c r="F263" s="3" t="s">
        <v>332</v>
      </c>
      <c r="G263" s="30">
        <v>1</v>
      </c>
      <c r="H263" s="32">
        <v>0</v>
      </c>
    </row>
    <row r="264" spans="1:8" ht="15">
      <c r="A264" s="2" t="s">
        <v>518</v>
      </c>
      <c r="B264" s="3" t="s">
        <v>487</v>
      </c>
      <c r="C264" s="3" t="s">
        <v>519</v>
      </c>
      <c r="D264" s="111" t="s">
        <v>520</v>
      </c>
      <c r="E264" s="111"/>
      <c r="F264" s="3" t="s">
        <v>332</v>
      </c>
      <c r="G264" s="30">
        <v>1</v>
      </c>
      <c r="H264" s="32">
        <v>0</v>
      </c>
    </row>
    <row r="265" spans="1:8" ht="15">
      <c r="A265" s="2" t="s">
        <v>521</v>
      </c>
      <c r="B265" s="3" t="s">
        <v>487</v>
      </c>
      <c r="C265" s="3" t="s">
        <v>522</v>
      </c>
      <c r="D265" s="111" t="s">
        <v>523</v>
      </c>
      <c r="E265" s="111"/>
      <c r="F265" s="3" t="s">
        <v>332</v>
      </c>
      <c r="G265" s="30">
        <v>1</v>
      </c>
      <c r="H265" s="32">
        <v>0</v>
      </c>
    </row>
    <row r="266" spans="1:8" ht="15">
      <c r="A266" s="2" t="s">
        <v>524</v>
      </c>
      <c r="B266" s="3" t="s">
        <v>487</v>
      </c>
      <c r="C266" s="3" t="s">
        <v>525</v>
      </c>
      <c r="D266" s="111" t="s">
        <v>526</v>
      </c>
      <c r="E266" s="111"/>
      <c r="F266" s="3" t="s">
        <v>332</v>
      </c>
      <c r="G266" s="30">
        <v>1</v>
      </c>
      <c r="H266" s="32">
        <v>0</v>
      </c>
    </row>
    <row r="267" spans="1:8" ht="15">
      <c r="A267" s="2" t="s">
        <v>527</v>
      </c>
      <c r="B267" s="3" t="s">
        <v>487</v>
      </c>
      <c r="C267" s="3" t="s">
        <v>528</v>
      </c>
      <c r="D267" s="111" t="s">
        <v>529</v>
      </c>
      <c r="E267" s="111"/>
      <c r="F267" s="3" t="s">
        <v>332</v>
      </c>
      <c r="G267" s="30">
        <v>1</v>
      </c>
      <c r="H267" s="32">
        <v>0</v>
      </c>
    </row>
    <row r="268" spans="1:8" ht="15">
      <c r="A268" s="2" t="s">
        <v>530</v>
      </c>
      <c r="B268" s="3" t="s">
        <v>487</v>
      </c>
      <c r="C268" s="3" t="s">
        <v>531</v>
      </c>
      <c r="D268" s="111" t="s">
        <v>532</v>
      </c>
      <c r="E268" s="111"/>
      <c r="F268" s="3" t="s">
        <v>332</v>
      </c>
      <c r="G268" s="30">
        <v>1</v>
      </c>
      <c r="H268" s="32">
        <v>0</v>
      </c>
    </row>
    <row r="269" spans="1:8" ht="13.5" customHeight="1">
      <c r="A269" s="34"/>
      <c r="C269" s="84" t="s">
        <v>231</v>
      </c>
      <c r="D269" s="137" t="s">
        <v>533</v>
      </c>
      <c r="E269" s="138"/>
      <c r="F269" s="138"/>
      <c r="G269" s="138"/>
      <c r="H269" s="82"/>
    </row>
    <row r="270" spans="1:8" ht="15">
      <c r="A270" s="2" t="s">
        <v>534</v>
      </c>
      <c r="B270" s="3" t="s">
        <v>487</v>
      </c>
      <c r="C270" s="3" t="s">
        <v>531</v>
      </c>
      <c r="D270" s="111" t="s">
        <v>535</v>
      </c>
      <c r="E270" s="111"/>
      <c r="F270" s="3" t="s">
        <v>332</v>
      </c>
      <c r="G270" s="30">
        <v>1</v>
      </c>
      <c r="H270" s="32">
        <v>0</v>
      </c>
    </row>
    <row r="271" spans="1:8" ht="15">
      <c r="A271" s="2" t="s">
        <v>536</v>
      </c>
      <c r="B271" s="3" t="s">
        <v>487</v>
      </c>
      <c r="C271" s="3" t="s">
        <v>537</v>
      </c>
      <c r="D271" s="111" t="s">
        <v>538</v>
      </c>
      <c r="E271" s="111"/>
      <c r="F271" s="3" t="s">
        <v>332</v>
      </c>
      <c r="G271" s="30">
        <v>1</v>
      </c>
      <c r="H271" s="32">
        <v>0</v>
      </c>
    </row>
    <row r="272" spans="1:8" ht="15">
      <c r="A272" s="2" t="s">
        <v>539</v>
      </c>
      <c r="B272" s="3" t="s">
        <v>487</v>
      </c>
      <c r="C272" s="3" t="s">
        <v>540</v>
      </c>
      <c r="D272" s="111" t="s">
        <v>541</v>
      </c>
      <c r="E272" s="111"/>
      <c r="F272" s="3" t="s">
        <v>332</v>
      </c>
      <c r="G272" s="30">
        <v>1</v>
      </c>
      <c r="H272" s="32">
        <v>0</v>
      </c>
    </row>
    <row r="273" spans="1:8" ht="15">
      <c r="A273" s="2" t="s">
        <v>542</v>
      </c>
      <c r="B273" s="3" t="s">
        <v>487</v>
      </c>
      <c r="C273" s="3" t="s">
        <v>543</v>
      </c>
      <c r="D273" s="111" t="s">
        <v>544</v>
      </c>
      <c r="E273" s="111"/>
      <c r="F273" s="3" t="s">
        <v>332</v>
      </c>
      <c r="G273" s="30">
        <v>1</v>
      </c>
      <c r="H273" s="32">
        <v>0</v>
      </c>
    </row>
    <row r="274" spans="1:8" ht="15">
      <c r="A274" s="2" t="s">
        <v>545</v>
      </c>
      <c r="B274" s="3" t="s">
        <v>487</v>
      </c>
      <c r="C274" s="3" t="s">
        <v>546</v>
      </c>
      <c r="D274" s="111" t="s">
        <v>547</v>
      </c>
      <c r="E274" s="111"/>
      <c r="F274" s="3" t="s">
        <v>332</v>
      </c>
      <c r="G274" s="30">
        <v>1</v>
      </c>
      <c r="H274" s="32">
        <v>0</v>
      </c>
    </row>
    <row r="275" spans="1:8" ht="15">
      <c r="A275" s="78" t="s">
        <v>48</v>
      </c>
      <c r="B275" s="26" t="s">
        <v>487</v>
      </c>
      <c r="C275" s="26" t="s">
        <v>548</v>
      </c>
      <c r="D275" s="136" t="s">
        <v>549</v>
      </c>
      <c r="E275" s="136"/>
      <c r="F275" s="26" t="s">
        <v>48</v>
      </c>
      <c r="G275" s="10" t="s">
        <v>48</v>
      </c>
      <c r="H275" s="79" t="s">
        <v>48</v>
      </c>
    </row>
    <row r="276" spans="1:8" ht="15">
      <c r="A276" s="2" t="s">
        <v>550</v>
      </c>
      <c r="B276" s="3" t="s">
        <v>487</v>
      </c>
      <c r="C276" s="3" t="s">
        <v>551</v>
      </c>
      <c r="D276" s="111" t="s">
        <v>552</v>
      </c>
      <c r="E276" s="111"/>
      <c r="F276" s="3" t="s">
        <v>332</v>
      </c>
      <c r="G276" s="30">
        <v>1</v>
      </c>
      <c r="H276" s="32">
        <v>0</v>
      </c>
    </row>
    <row r="277" spans="1:8" ht="15">
      <c r="A277" s="2" t="s">
        <v>554</v>
      </c>
      <c r="B277" s="3" t="s">
        <v>487</v>
      </c>
      <c r="C277" s="3" t="s">
        <v>555</v>
      </c>
      <c r="D277" s="111" t="s">
        <v>556</v>
      </c>
      <c r="E277" s="111"/>
      <c r="F277" s="3" t="s">
        <v>332</v>
      </c>
      <c r="G277" s="30">
        <v>1</v>
      </c>
      <c r="H277" s="32">
        <v>0</v>
      </c>
    </row>
    <row r="278" spans="1:8" ht="15">
      <c r="A278" s="2" t="s">
        <v>557</v>
      </c>
      <c r="B278" s="3" t="s">
        <v>487</v>
      </c>
      <c r="C278" s="3" t="s">
        <v>558</v>
      </c>
      <c r="D278" s="111" t="s">
        <v>559</v>
      </c>
      <c r="E278" s="111"/>
      <c r="F278" s="3" t="s">
        <v>332</v>
      </c>
      <c r="G278" s="30">
        <v>1</v>
      </c>
      <c r="H278" s="32">
        <v>0</v>
      </c>
    </row>
    <row r="279" spans="1:8" ht="15">
      <c r="A279" s="53" t="s">
        <v>560</v>
      </c>
      <c r="B279" s="54" t="s">
        <v>487</v>
      </c>
      <c r="C279" s="54" t="s">
        <v>558</v>
      </c>
      <c r="D279" s="148" t="s">
        <v>561</v>
      </c>
      <c r="E279" s="148"/>
      <c r="F279" s="54" t="s">
        <v>135</v>
      </c>
      <c r="G279" s="55">
        <v>5</v>
      </c>
      <c r="H279" s="57">
        <v>0</v>
      </c>
    </row>
    <row r="281" ht="15">
      <c r="A281" s="59" t="s">
        <v>231</v>
      </c>
    </row>
    <row r="282" spans="1:7" ht="12.75" customHeight="1">
      <c r="A282" s="116" t="s">
        <v>48</v>
      </c>
      <c r="B282" s="111"/>
      <c r="C282" s="111"/>
      <c r="D282" s="111"/>
      <c r="E282" s="111"/>
      <c r="F282" s="111"/>
      <c r="G282" s="111"/>
    </row>
  </sheetData>
  <sheetProtection password="C665" sheet="1"/>
  <mergeCells count="288">
    <mergeCell ref="D279:E279"/>
    <mergeCell ref="A282:G282"/>
    <mergeCell ref="D274:E274"/>
    <mergeCell ref="D275:E275"/>
    <mergeCell ref="D276:E276"/>
    <mergeCell ref="D277:E277"/>
    <mergeCell ref="D278:E278"/>
    <mergeCell ref="D269:G269"/>
    <mergeCell ref="D270:E270"/>
    <mergeCell ref="D271:E271"/>
    <mergeCell ref="D272:E272"/>
    <mergeCell ref="D273:E273"/>
    <mergeCell ref="D264:E264"/>
    <mergeCell ref="D265:E265"/>
    <mergeCell ref="D266:E266"/>
    <mergeCell ref="D267:E267"/>
    <mergeCell ref="D268:E268"/>
    <mergeCell ref="D259:E259"/>
    <mergeCell ref="D260:E260"/>
    <mergeCell ref="D261:E261"/>
    <mergeCell ref="D262:E262"/>
    <mergeCell ref="D263:E263"/>
    <mergeCell ref="D254:E254"/>
    <mergeCell ref="D255:E255"/>
    <mergeCell ref="D256:E256"/>
    <mergeCell ref="D257:E257"/>
    <mergeCell ref="D258:E258"/>
    <mergeCell ref="D249:E249"/>
    <mergeCell ref="E250:F250"/>
    <mergeCell ref="D251:E251"/>
    <mergeCell ref="D252:E252"/>
    <mergeCell ref="D253:E253"/>
    <mergeCell ref="D244:E244"/>
    <mergeCell ref="D245:E245"/>
    <mergeCell ref="D246:E246"/>
    <mergeCell ref="D247:E247"/>
    <mergeCell ref="D248:E248"/>
    <mergeCell ref="D239:E239"/>
    <mergeCell ref="D240:E240"/>
    <mergeCell ref="D241:E241"/>
    <mergeCell ref="D242:E242"/>
    <mergeCell ref="D243:E243"/>
    <mergeCell ref="D234:E234"/>
    <mergeCell ref="D235:E235"/>
    <mergeCell ref="D236:G236"/>
    <mergeCell ref="D237:E237"/>
    <mergeCell ref="D238:E238"/>
    <mergeCell ref="E229:F229"/>
    <mergeCell ref="D230:E230"/>
    <mergeCell ref="D231:E231"/>
    <mergeCell ref="E232:F232"/>
    <mergeCell ref="D233:E233"/>
    <mergeCell ref="D224:E224"/>
    <mergeCell ref="D225:E225"/>
    <mergeCell ref="D226:E226"/>
    <mergeCell ref="D227:E227"/>
    <mergeCell ref="D228:E228"/>
    <mergeCell ref="E219:F219"/>
    <mergeCell ref="D220:E220"/>
    <mergeCell ref="D221:E221"/>
    <mergeCell ref="D222:E222"/>
    <mergeCell ref="D223:G223"/>
    <mergeCell ref="D214:E214"/>
    <mergeCell ref="D215:E215"/>
    <mergeCell ref="D216:E216"/>
    <mergeCell ref="E217:F217"/>
    <mergeCell ref="D218:E218"/>
    <mergeCell ref="D209:E209"/>
    <mergeCell ref="D210:E210"/>
    <mergeCell ref="E211:F211"/>
    <mergeCell ref="D212:G212"/>
    <mergeCell ref="D213:E213"/>
    <mergeCell ref="E204:F204"/>
    <mergeCell ref="D205:E205"/>
    <mergeCell ref="E206:F206"/>
    <mergeCell ref="D207:E207"/>
    <mergeCell ref="E208:F208"/>
    <mergeCell ref="D199:E199"/>
    <mergeCell ref="E200:F200"/>
    <mergeCell ref="D201:E201"/>
    <mergeCell ref="E202:F202"/>
    <mergeCell ref="D203:E203"/>
    <mergeCell ref="D194:E194"/>
    <mergeCell ref="D195:E195"/>
    <mergeCell ref="E196:F196"/>
    <mergeCell ref="D197:E197"/>
    <mergeCell ref="E198:F198"/>
    <mergeCell ref="D189:E189"/>
    <mergeCell ref="E190:F190"/>
    <mergeCell ref="D191:E191"/>
    <mergeCell ref="D192:E192"/>
    <mergeCell ref="E193:F193"/>
    <mergeCell ref="E184:F184"/>
    <mergeCell ref="D185:E185"/>
    <mergeCell ref="D186:E186"/>
    <mergeCell ref="E187:F187"/>
    <mergeCell ref="D188:E188"/>
    <mergeCell ref="D179:E179"/>
    <mergeCell ref="D180:E180"/>
    <mergeCell ref="D181:E181"/>
    <mergeCell ref="D182:E182"/>
    <mergeCell ref="D183:E183"/>
    <mergeCell ref="D174:E174"/>
    <mergeCell ref="D175:E175"/>
    <mergeCell ref="D176:E176"/>
    <mergeCell ref="E177:F177"/>
    <mergeCell ref="D178:E178"/>
    <mergeCell ref="D169:E169"/>
    <mergeCell ref="D170:E170"/>
    <mergeCell ref="D171:E171"/>
    <mergeCell ref="D172:E172"/>
    <mergeCell ref="D173:E173"/>
    <mergeCell ref="D164:E164"/>
    <mergeCell ref="D165:E165"/>
    <mergeCell ref="D166:G166"/>
    <mergeCell ref="D167:E167"/>
    <mergeCell ref="D168:E168"/>
    <mergeCell ref="D159:E159"/>
    <mergeCell ref="D160:E160"/>
    <mergeCell ref="D161:G161"/>
    <mergeCell ref="D162:E162"/>
    <mergeCell ref="D163:E163"/>
    <mergeCell ref="E154:F154"/>
    <mergeCell ref="E155:F155"/>
    <mergeCell ref="E156:F156"/>
    <mergeCell ref="D157:E157"/>
    <mergeCell ref="D158:E158"/>
    <mergeCell ref="D149:E149"/>
    <mergeCell ref="E150:F150"/>
    <mergeCell ref="D151:E151"/>
    <mergeCell ref="D152:E152"/>
    <mergeCell ref="D153:E153"/>
    <mergeCell ref="D144:E144"/>
    <mergeCell ref="E145:F145"/>
    <mergeCell ref="E146:F146"/>
    <mergeCell ref="D147:E147"/>
    <mergeCell ref="E148:F148"/>
    <mergeCell ref="E139:F139"/>
    <mergeCell ref="D140:E140"/>
    <mergeCell ref="E141:F141"/>
    <mergeCell ref="D142:E142"/>
    <mergeCell ref="D143:E143"/>
    <mergeCell ref="E134:F134"/>
    <mergeCell ref="E135:F135"/>
    <mergeCell ref="D136:E136"/>
    <mergeCell ref="E137:F137"/>
    <mergeCell ref="D138:E138"/>
    <mergeCell ref="D129:E129"/>
    <mergeCell ref="D130:E130"/>
    <mergeCell ref="D131:E131"/>
    <mergeCell ref="E132:F132"/>
    <mergeCell ref="E133:F133"/>
    <mergeCell ref="D124:E124"/>
    <mergeCell ref="D125:E125"/>
    <mergeCell ref="E126:F126"/>
    <mergeCell ref="D127:E127"/>
    <mergeCell ref="D128:G128"/>
    <mergeCell ref="E119:F119"/>
    <mergeCell ref="D120:E120"/>
    <mergeCell ref="D121:E121"/>
    <mergeCell ref="D122:E122"/>
    <mergeCell ref="D123:G123"/>
    <mergeCell ref="D114:E114"/>
    <mergeCell ref="E115:F115"/>
    <mergeCell ref="D116:E116"/>
    <mergeCell ref="E117:F117"/>
    <mergeCell ref="D118:E118"/>
    <mergeCell ref="D109:E109"/>
    <mergeCell ref="D110:E110"/>
    <mergeCell ref="E111:F111"/>
    <mergeCell ref="D112:G112"/>
    <mergeCell ref="D113:E113"/>
    <mergeCell ref="E104:F104"/>
    <mergeCell ref="D105:G105"/>
    <mergeCell ref="D106:E106"/>
    <mergeCell ref="D107:E107"/>
    <mergeCell ref="E108:F108"/>
    <mergeCell ref="D99:E99"/>
    <mergeCell ref="D100:E100"/>
    <mergeCell ref="D101:E101"/>
    <mergeCell ref="E102:F102"/>
    <mergeCell ref="D103:E103"/>
    <mergeCell ref="E94:F94"/>
    <mergeCell ref="E95:F95"/>
    <mergeCell ref="D96:E96"/>
    <mergeCell ref="D97:E97"/>
    <mergeCell ref="E98:F98"/>
    <mergeCell ref="E89:F89"/>
    <mergeCell ref="D90:E90"/>
    <mergeCell ref="D91:E91"/>
    <mergeCell ref="E92:F92"/>
    <mergeCell ref="E93:F93"/>
    <mergeCell ref="D84:E84"/>
    <mergeCell ref="E85:F85"/>
    <mergeCell ref="E86:F86"/>
    <mergeCell ref="E87:F87"/>
    <mergeCell ref="D88:E8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E59:F59"/>
    <mergeCell ref="D60:E60"/>
    <mergeCell ref="E61:F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E51:F51"/>
    <mergeCell ref="D52:E52"/>
    <mergeCell ref="D53:E53"/>
    <mergeCell ref="D44:E44"/>
    <mergeCell ref="E45:F45"/>
    <mergeCell ref="D46:E46"/>
    <mergeCell ref="E47:F47"/>
    <mergeCell ref="E48:F48"/>
    <mergeCell ref="E39:F39"/>
    <mergeCell ref="D40:E40"/>
    <mergeCell ref="D41:E41"/>
    <mergeCell ref="D42:E42"/>
    <mergeCell ref="D43:E43"/>
    <mergeCell ref="E34:F34"/>
    <mergeCell ref="E35:F35"/>
    <mergeCell ref="E36:F36"/>
    <mergeCell ref="E37:F37"/>
    <mergeCell ref="E38:F38"/>
    <mergeCell ref="D29:E29"/>
    <mergeCell ref="D30:E30"/>
    <mergeCell ref="E31:F31"/>
    <mergeCell ref="E32:F32"/>
    <mergeCell ref="E33:F33"/>
    <mergeCell ref="D24:E24"/>
    <mergeCell ref="D25:E25"/>
    <mergeCell ref="D26:E26"/>
    <mergeCell ref="E27:F27"/>
    <mergeCell ref="D28:E28"/>
    <mergeCell ref="E19:F19"/>
    <mergeCell ref="E20:F20"/>
    <mergeCell ref="E21:F21"/>
    <mergeCell ref="D22:E22"/>
    <mergeCell ref="E23:F23"/>
    <mergeCell ref="E14:F14"/>
    <mergeCell ref="E15:F15"/>
    <mergeCell ref="D16:E16"/>
    <mergeCell ref="E17:F17"/>
    <mergeCell ref="E18:F18"/>
    <mergeCell ref="F8:H9"/>
    <mergeCell ref="D10:E10"/>
    <mergeCell ref="D11:E11"/>
    <mergeCell ref="D12:E12"/>
    <mergeCell ref="D13:E13"/>
    <mergeCell ref="A1:H1"/>
    <mergeCell ref="A2:B3"/>
    <mergeCell ref="A4:B5"/>
    <mergeCell ref="A6:B7"/>
    <mergeCell ref="A8:B9"/>
    <mergeCell ref="E2:E3"/>
    <mergeCell ref="E4:E5"/>
    <mergeCell ref="E6:E7"/>
    <mergeCell ref="E8:E9"/>
    <mergeCell ref="C2:D3"/>
    <mergeCell ref="C4:D5"/>
    <mergeCell ref="C6:D7"/>
    <mergeCell ref="C8:D9"/>
    <mergeCell ref="F2:H3"/>
    <mergeCell ref="F4:H5"/>
    <mergeCell ref="F6:H7"/>
  </mergeCells>
  <printOptions/>
  <pageMargins left="0.393999993801117" right="0.393999993801117" top="0.591000020503998" bottom="0.591000020503998" header="0" footer="0"/>
  <pageSetup fitToHeight="0" fitToWidth="1"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218"/>
  <sheetViews>
    <sheetView workbookViewId="0" topLeftCell="A1">
      <pane ySplit="11" topLeftCell="A12" activePane="bottomLeft" state="frozen"/>
      <selection pane="bottomLeft" activeCell="A218" sqref="A218:K218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6.4218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25" max="75" width="12.140625" style="0" hidden="1" customWidth="1"/>
    <col min="76" max="76" width="78.57421875" style="0" hidden="1" customWidth="1"/>
    <col min="77" max="78" width="12.140625" style="0" hidden="1" customWidth="1"/>
  </cols>
  <sheetData>
    <row r="1" spans="1:47" ht="54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AS1" s="1">
        <f>SUM(AJ1:AJ2)</f>
        <v>0</v>
      </c>
      <c r="AT1" s="1">
        <f>SUM(AK1:AK2)</f>
        <v>0</v>
      </c>
      <c r="AU1" s="1">
        <f>SUM(AL1:AL2)</f>
        <v>0</v>
      </c>
    </row>
    <row r="2" spans="1:11" ht="15">
      <c r="A2" s="108" t="s">
        <v>1</v>
      </c>
      <c r="B2" s="109"/>
      <c r="C2" s="109"/>
      <c r="D2" s="117" t="s">
        <v>2</v>
      </c>
      <c r="E2" s="118"/>
      <c r="F2" s="109" t="s">
        <v>3</v>
      </c>
      <c r="G2" s="109"/>
      <c r="H2" s="120" t="s">
        <v>4</v>
      </c>
      <c r="I2" s="115" t="s">
        <v>5</v>
      </c>
      <c r="J2" s="115" t="s">
        <v>6</v>
      </c>
      <c r="K2" s="123"/>
    </row>
    <row r="3" spans="1:11" ht="15">
      <c r="A3" s="110"/>
      <c r="B3" s="111"/>
      <c r="C3" s="111"/>
      <c r="D3" s="119"/>
      <c r="E3" s="119"/>
      <c r="F3" s="111"/>
      <c r="G3" s="111"/>
      <c r="H3" s="121"/>
      <c r="I3" s="111"/>
      <c r="J3" s="111"/>
      <c r="K3" s="124"/>
    </row>
    <row r="4" spans="1:11" ht="15">
      <c r="A4" s="112" t="s">
        <v>7</v>
      </c>
      <c r="B4" s="111"/>
      <c r="C4" s="111"/>
      <c r="D4" s="116" t="s">
        <v>4</v>
      </c>
      <c r="E4" s="111"/>
      <c r="F4" s="111" t="s">
        <v>8</v>
      </c>
      <c r="G4" s="111"/>
      <c r="H4" s="121" t="s">
        <v>4</v>
      </c>
      <c r="I4" s="116" t="s">
        <v>9</v>
      </c>
      <c r="J4" s="116" t="s">
        <v>10</v>
      </c>
      <c r="K4" s="124"/>
    </row>
    <row r="5" spans="1:11" ht="15">
      <c r="A5" s="110"/>
      <c r="B5" s="111"/>
      <c r="C5" s="111"/>
      <c r="D5" s="111"/>
      <c r="E5" s="111"/>
      <c r="F5" s="111"/>
      <c r="G5" s="111"/>
      <c r="H5" s="121"/>
      <c r="I5" s="111"/>
      <c r="J5" s="111"/>
      <c r="K5" s="124"/>
    </row>
    <row r="6" spans="1:11" ht="15">
      <c r="A6" s="112" t="s">
        <v>11</v>
      </c>
      <c r="B6" s="111"/>
      <c r="C6" s="111"/>
      <c r="D6" s="116" t="s">
        <v>12</v>
      </c>
      <c r="E6" s="111"/>
      <c r="F6" s="111" t="s">
        <v>13</v>
      </c>
      <c r="G6" s="111"/>
      <c r="H6" s="121" t="s">
        <v>4</v>
      </c>
      <c r="I6" s="116" t="s">
        <v>14</v>
      </c>
      <c r="J6" s="121" t="s">
        <v>15</v>
      </c>
      <c r="K6" s="125"/>
    </row>
    <row r="7" spans="1:11" ht="15">
      <c r="A7" s="110"/>
      <c r="B7" s="111"/>
      <c r="C7" s="111"/>
      <c r="D7" s="111"/>
      <c r="E7" s="111"/>
      <c r="F7" s="111"/>
      <c r="G7" s="111"/>
      <c r="H7" s="121"/>
      <c r="I7" s="111"/>
      <c r="J7" s="121"/>
      <c r="K7" s="125"/>
    </row>
    <row r="8" spans="1:11" ht="15">
      <c r="A8" s="112" t="s">
        <v>16</v>
      </c>
      <c r="B8" s="111"/>
      <c r="C8" s="111"/>
      <c r="D8" s="116" t="s">
        <v>4</v>
      </c>
      <c r="E8" s="111"/>
      <c r="F8" s="111" t="s">
        <v>17</v>
      </c>
      <c r="G8" s="111"/>
      <c r="H8" s="121" t="s">
        <v>18</v>
      </c>
      <c r="I8" s="116" t="s">
        <v>19</v>
      </c>
      <c r="J8" s="121" t="s">
        <v>15</v>
      </c>
      <c r="K8" s="125"/>
    </row>
    <row r="9" spans="1:11" ht="15">
      <c r="A9" s="113"/>
      <c r="B9" s="114"/>
      <c r="C9" s="114"/>
      <c r="D9" s="114"/>
      <c r="E9" s="114"/>
      <c r="F9" s="114"/>
      <c r="G9" s="114"/>
      <c r="H9" s="122"/>
      <c r="I9" s="114"/>
      <c r="J9" s="122"/>
      <c r="K9" s="126"/>
    </row>
    <row r="10" spans="1:75" ht="15">
      <c r="A10" s="5" t="s">
        <v>20</v>
      </c>
      <c r="B10" s="6" t="s">
        <v>21</v>
      </c>
      <c r="C10" s="6" t="s">
        <v>22</v>
      </c>
      <c r="D10" s="127" t="s">
        <v>23</v>
      </c>
      <c r="E10" s="128"/>
      <c r="F10" s="6" t="s">
        <v>24</v>
      </c>
      <c r="G10" s="7" t="s">
        <v>25</v>
      </c>
      <c r="H10" s="8" t="s">
        <v>26</v>
      </c>
      <c r="I10" s="9" t="s">
        <v>27</v>
      </c>
      <c r="J10" s="131" t="s">
        <v>28</v>
      </c>
      <c r="K10" s="132"/>
      <c r="BK10" s="10" t="s">
        <v>29</v>
      </c>
      <c r="BL10" s="11" t="s">
        <v>30</v>
      </c>
      <c r="BW10" s="11" t="s">
        <v>31</v>
      </c>
    </row>
    <row r="11" spans="1:62" ht="15">
      <c r="A11" s="12" t="s">
        <v>4</v>
      </c>
      <c r="B11" s="13" t="s">
        <v>4</v>
      </c>
      <c r="C11" s="13" t="s">
        <v>4</v>
      </c>
      <c r="D11" s="129" t="s">
        <v>32</v>
      </c>
      <c r="E11" s="130"/>
      <c r="F11" s="13" t="s">
        <v>4</v>
      </c>
      <c r="G11" s="13" t="s">
        <v>4</v>
      </c>
      <c r="H11" s="14" t="s">
        <v>33</v>
      </c>
      <c r="I11" s="15" t="s">
        <v>34</v>
      </c>
      <c r="J11" s="16" t="s">
        <v>35</v>
      </c>
      <c r="K11" s="17" t="s">
        <v>34</v>
      </c>
      <c r="Z11" s="10" t="s">
        <v>36</v>
      </c>
      <c r="AA11" s="10" t="s">
        <v>37</v>
      </c>
      <c r="AB11" s="10" t="s">
        <v>38</v>
      </c>
      <c r="AC11" s="10" t="s">
        <v>39</v>
      </c>
      <c r="AD11" s="10" t="s">
        <v>40</v>
      </c>
      <c r="AE11" s="10" t="s">
        <v>41</v>
      </c>
      <c r="AF11" s="10" t="s">
        <v>42</v>
      </c>
      <c r="AG11" s="10" t="s">
        <v>43</v>
      </c>
      <c r="AH11" s="10" t="s">
        <v>44</v>
      </c>
      <c r="BH11" s="10" t="s">
        <v>45</v>
      </c>
      <c r="BI11" s="10" t="s">
        <v>46</v>
      </c>
      <c r="BJ11" s="10" t="s">
        <v>47</v>
      </c>
    </row>
    <row r="12" spans="1:11" ht="15">
      <c r="A12" s="18" t="s">
        <v>48</v>
      </c>
      <c r="B12" s="19" t="s">
        <v>49</v>
      </c>
      <c r="C12" s="19" t="s">
        <v>48</v>
      </c>
      <c r="D12" s="133" t="s">
        <v>50</v>
      </c>
      <c r="E12" s="134"/>
      <c r="F12" s="20" t="s">
        <v>4</v>
      </c>
      <c r="G12" s="20" t="s">
        <v>4</v>
      </c>
      <c r="H12" s="21" t="s">
        <v>4</v>
      </c>
      <c r="I12" s="22">
        <f>I13+I18+I23+I29+I31+I60+I63+I65+I67+I72+I74+I77+I85+I88+I94+I105+I118+I120+I122+I124</f>
        <v>0</v>
      </c>
      <c r="J12" s="23" t="s">
        <v>48</v>
      </c>
      <c r="K12" s="24">
        <f>K13+K18+K23+K29+K31+K60+K63+K65+K67+K72+K74+K77+K85+K88+K94+K105+K118+K120+K122+K124</f>
        <v>352.3983345515</v>
      </c>
    </row>
    <row r="13" spans="1:47" ht="15">
      <c r="A13" s="25" t="s">
        <v>48</v>
      </c>
      <c r="B13" s="26" t="s">
        <v>49</v>
      </c>
      <c r="C13" s="26" t="s">
        <v>51</v>
      </c>
      <c r="D13" s="135" t="s">
        <v>52</v>
      </c>
      <c r="E13" s="136"/>
      <c r="F13" s="27" t="s">
        <v>4</v>
      </c>
      <c r="G13" s="27" t="s">
        <v>4</v>
      </c>
      <c r="H13" s="28" t="s">
        <v>4</v>
      </c>
      <c r="I13" s="1">
        <f>SUM(I14:I17)</f>
        <v>0</v>
      </c>
      <c r="J13" s="10" t="s">
        <v>48</v>
      </c>
      <c r="K13" s="29">
        <f>SUM(K14:K17)</f>
        <v>143.13805000000002</v>
      </c>
      <c r="AI13" s="10" t="s">
        <v>49</v>
      </c>
      <c r="AS13" s="1">
        <f>SUM(AJ14:AJ17)</f>
        <v>0</v>
      </c>
      <c r="AT13" s="1">
        <f>SUM(AK14:AK17)</f>
        <v>0</v>
      </c>
      <c r="AU13" s="1">
        <f>SUM(AL14:AL17)</f>
        <v>0</v>
      </c>
    </row>
    <row r="14" spans="1:76" ht="15">
      <c r="A14" s="2" t="s">
        <v>53</v>
      </c>
      <c r="B14" s="3" t="s">
        <v>49</v>
      </c>
      <c r="C14" s="3" t="s">
        <v>54</v>
      </c>
      <c r="D14" s="116" t="s">
        <v>55</v>
      </c>
      <c r="E14" s="111"/>
      <c r="F14" s="3" t="s">
        <v>56</v>
      </c>
      <c r="G14" s="30">
        <v>33</v>
      </c>
      <c r="H14" s="31">
        <v>0</v>
      </c>
      <c r="I14" s="30">
        <f>G14*H14</f>
        <v>0</v>
      </c>
      <c r="J14" s="30">
        <v>5E-05</v>
      </c>
      <c r="K14" s="32">
        <f>G14*J14</f>
        <v>0.00165</v>
      </c>
      <c r="Z14" s="30">
        <f>IF(AQ14="5",BJ14,0)</f>
        <v>0</v>
      </c>
      <c r="AB14" s="30">
        <f>IF(AQ14="1",BH14,0)</f>
        <v>0</v>
      </c>
      <c r="AC14" s="30">
        <f>IF(AQ14="1",BI14,0)</f>
        <v>0</v>
      </c>
      <c r="AD14" s="30">
        <f>IF(AQ14="7",BH14,0)</f>
        <v>0</v>
      </c>
      <c r="AE14" s="30">
        <f>IF(AQ14="7",BI14,0)</f>
        <v>0</v>
      </c>
      <c r="AF14" s="30">
        <f>IF(AQ14="2",BH14,0)</f>
        <v>0</v>
      </c>
      <c r="AG14" s="30">
        <f>IF(AQ14="2",BI14,0)</f>
        <v>0</v>
      </c>
      <c r="AH14" s="30">
        <f>IF(AQ14="0",BJ14,0)</f>
        <v>0</v>
      </c>
      <c r="AI14" s="10" t="s">
        <v>49</v>
      </c>
      <c r="AJ14" s="30">
        <f>IF(AN14=0,I14,0)</f>
        <v>0</v>
      </c>
      <c r="AK14" s="30">
        <f>IF(AN14=12,I14,0)</f>
        <v>0</v>
      </c>
      <c r="AL14" s="30">
        <f>IF(AN14=21,I14,0)</f>
        <v>0</v>
      </c>
      <c r="AN14" s="30">
        <v>21</v>
      </c>
      <c r="AO14" s="30">
        <f>H14*0.02118019</f>
        <v>0</v>
      </c>
      <c r="AP14" s="30">
        <f>H14*(1-0.02118019)</f>
        <v>0</v>
      </c>
      <c r="AQ14" s="33" t="s">
        <v>53</v>
      </c>
      <c r="AV14" s="30">
        <f>AW14+AX14</f>
        <v>0</v>
      </c>
      <c r="AW14" s="30">
        <f>G14*AO14</f>
        <v>0</v>
      </c>
      <c r="AX14" s="30">
        <f>G14*AP14</f>
        <v>0</v>
      </c>
      <c r="AY14" s="33" t="s">
        <v>57</v>
      </c>
      <c r="AZ14" s="33" t="s">
        <v>58</v>
      </c>
      <c r="BA14" s="10" t="s">
        <v>59</v>
      </c>
      <c r="BC14" s="30">
        <f>AW14+AX14</f>
        <v>0</v>
      </c>
      <c r="BD14" s="30">
        <f>H14/(100-BE14)*100</f>
        <v>0</v>
      </c>
      <c r="BE14" s="30">
        <v>0</v>
      </c>
      <c r="BF14" s="30">
        <f>K14</f>
        <v>0.00165</v>
      </c>
      <c r="BH14" s="30">
        <f>G14*AO14</f>
        <v>0</v>
      </c>
      <c r="BI14" s="30">
        <f>G14*AP14</f>
        <v>0</v>
      </c>
      <c r="BJ14" s="30">
        <f>G14*H14</f>
        <v>0</v>
      </c>
      <c r="BK14" s="30"/>
      <c r="BL14" s="30">
        <v>11</v>
      </c>
      <c r="BW14" s="30">
        <v>21</v>
      </c>
      <c r="BX14" s="4" t="s">
        <v>55</v>
      </c>
    </row>
    <row r="15" spans="1:76" ht="15">
      <c r="A15" s="2" t="s">
        <v>60</v>
      </c>
      <c r="B15" s="3" t="s">
        <v>49</v>
      </c>
      <c r="C15" s="3" t="s">
        <v>61</v>
      </c>
      <c r="D15" s="116" t="s">
        <v>62</v>
      </c>
      <c r="E15" s="111"/>
      <c r="F15" s="3" t="s">
        <v>56</v>
      </c>
      <c r="G15" s="30">
        <v>162.8</v>
      </c>
      <c r="H15" s="31">
        <v>0</v>
      </c>
      <c r="I15" s="30">
        <f>G15*H15</f>
        <v>0</v>
      </c>
      <c r="J15" s="30">
        <v>0.138</v>
      </c>
      <c r="K15" s="32">
        <f>G15*J15</f>
        <v>22.466400000000004</v>
      </c>
      <c r="Z15" s="30">
        <f>IF(AQ15="5",BJ15,0)</f>
        <v>0</v>
      </c>
      <c r="AB15" s="30">
        <f>IF(AQ15="1",BH15,0)</f>
        <v>0</v>
      </c>
      <c r="AC15" s="30">
        <f>IF(AQ15="1",BI15,0)</f>
        <v>0</v>
      </c>
      <c r="AD15" s="30">
        <f>IF(AQ15="7",BH15,0)</f>
        <v>0</v>
      </c>
      <c r="AE15" s="30">
        <f>IF(AQ15="7",BI15,0)</f>
        <v>0</v>
      </c>
      <c r="AF15" s="30">
        <f>IF(AQ15="2",BH15,0)</f>
        <v>0</v>
      </c>
      <c r="AG15" s="30">
        <f>IF(AQ15="2",BI15,0)</f>
        <v>0</v>
      </c>
      <c r="AH15" s="30">
        <f>IF(AQ15="0",BJ15,0)</f>
        <v>0</v>
      </c>
      <c r="AI15" s="10" t="s">
        <v>49</v>
      </c>
      <c r="AJ15" s="30">
        <f>IF(AN15=0,I15,0)</f>
        <v>0</v>
      </c>
      <c r="AK15" s="30">
        <f>IF(AN15=12,I15,0)</f>
        <v>0</v>
      </c>
      <c r="AL15" s="30">
        <f>IF(AN15=21,I15,0)</f>
        <v>0</v>
      </c>
      <c r="AN15" s="30">
        <v>21</v>
      </c>
      <c r="AO15" s="30">
        <f>H15*0</f>
        <v>0</v>
      </c>
      <c r="AP15" s="30">
        <f>H15*(1-0)</f>
        <v>0</v>
      </c>
      <c r="AQ15" s="33" t="s">
        <v>53</v>
      </c>
      <c r="AV15" s="30">
        <f>AW15+AX15</f>
        <v>0</v>
      </c>
      <c r="AW15" s="30">
        <f>G15*AO15</f>
        <v>0</v>
      </c>
      <c r="AX15" s="30">
        <f>G15*AP15</f>
        <v>0</v>
      </c>
      <c r="AY15" s="33" t="s">
        <v>57</v>
      </c>
      <c r="AZ15" s="33" t="s">
        <v>58</v>
      </c>
      <c r="BA15" s="10" t="s">
        <v>59</v>
      </c>
      <c r="BC15" s="30">
        <f>AW15+AX15</f>
        <v>0</v>
      </c>
      <c r="BD15" s="30">
        <f>H15/(100-BE15)*100</f>
        <v>0</v>
      </c>
      <c r="BE15" s="30">
        <v>0</v>
      </c>
      <c r="BF15" s="30">
        <f>K15</f>
        <v>22.466400000000004</v>
      </c>
      <c r="BH15" s="30">
        <f>G15*AO15</f>
        <v>0</v>
      </c>
      <c r="BI15" s="30">
        <f>G15*AP15</f>
        <v>0</v>
      </c>
      <c r="BJ15" s="30">
        <f>G15*H15</f>
        <v>0</v>
      </c>
      <c r="BK15" s="30"/>
      <c r="BL15" s="30">
        <v>11</v>
      </c>
      <c r="BW15" s="30">
        <v>21</v>
      </c>
      <c r="BX15" s="4" t="s">
        <v>62</v>
      </c>
    </row>
    <row r="16" spans="1:76" ht="15">
      <c r="A16" s="2" t="s">
        <v>63</v>
      </c>
      <c r="B16" s="3" t="s">
        <v>49</v>
      </c>
      <c r="C16" s="3" t="s">
        <v>64</v>
      </c>
      <c r="D16" s="116" t="s">
        <v>65</v>
      </c>
      <c r="E16" s="111"/>
      <c r="F16" s="3" t="s">
        <v>56</v>
      </c>
      <c r="G16" s="30">
        <v>151</v>
      </c>
      <c r="H16" s="31">
        <v>0</v>
      </c>
      <c r="I16" s="30">
        <f>G16*H16</f>
        <v>0</v>
      </c>
      <c r="J16" s="30">
        <v>0.55</v>
      </c>
      <c r="K16" s="32">
        <f>G16*J16</f>
        <v>83.05000000000001</v>
      </c>
      <c r="Z16" s="30">
        <f>IF(AQ16="5",BJ16,0)</f>
        <v>0</v>
      </c>
      <c r="AB16" s="30">
        <f>IF(AQ16="1",BH16,0)</f>
        <v>0</v>
      </c>
      <c r="AC16" s="30">
        <f>IF(AQ16="1",BI16,0)</f>
        <v>0</v>
      </c>
      <c r="AD16" s="30">
        <f>IF(AQ16="7",BH16,0)</f>
        <v>0</v>
      </c>
      <c r="AE16" s="30">
        <f>IF(AQ16="7",BI16,0)</f>
        <v>0</v>
      </c>
      <c r="AF16" s="30">
        <f>IF(AQ16="2",BH16,0)</f>
        <v>0</v>
      </c>
      <c r="AG16" s="30">
        <f>IF(AQ16="2",BI16,0)</f>
        <v>0</v>
      </c>
      <c r="AH16" s="30">
        <f>IF(AQ16="0",BJ16,0)</f>
        <v>0</v>
      </c>
      <c r="AI16" s="10" t="s">
        <v>49</v>
      </c>
      <c r="AJ16" s="30">
        <f>IF(AN16=0,I16,0)</f>
        <v>0</v>
      </c>
      <c r="AK16" s="30">
        <f>IF(AN16=12,I16,0)</f>
        <v>0</v>
      </c>
      <c r="AL16" s="30">
        <f>IF(AN16=21,I16,0)</f>
        <v>0</v>
      </c>
      <c r="AN16" s="30">
        <v>21</v>
      </c>
      <c r="AO16" s="30">
        <f>H16*0</f>
        <v>0</v>
      </c>
      <c r="AP16" s="30">
        <f>H16*(1-0)</f>
        <v>0</v>
      </c>
      <c r="AQ16" s="33" t="s">
        <v>53</v>
      </c>
      <c r="AV16" s="30">
        <f>AW16+AX16</f>
        <v>0</v>
      </c>
      <c r="AW16" s="30">
        <f>G16*AO16</f>
        <v>0</v>
      </c>
      <c r="AX16" s="30">
        <f>G16*AP16</f>
        <v>0</v>
      </c>
      <c r="AY16" s="33" t="s">
        <v>57</v>
      </c>
      <c r="AZ16" s="33" t="s">
        <v>58</v>
      </c>
      <c r="BA16" s="10" t="s">
        <v>59</v>
      </c>
      <c r="BC16" s="30">
        <f>AW16+AX16</f>
        <v>0</v>
      </c>
      <c r="BD16" s="30">
        <f>H16/(100-BE16)*100</f>
        <v>0</v>
      </c>
      <c r="BE16" s="30">
        <v>0</v>
      </c>
      <c r="BF16" s="30">
        <f>K16</f>
        <v>83.05000000000001</v>
      </c>
      <c r="BH16" s="30">
        <f>G16*AO16</f>
        <v>0</v>
      </c>
      <c r="BI16" s="30">
        <f>G16*AP16</f>
        <v>0</v>
      </c>
      <c r="BJ16" s="30">
        <f>G16*H16</f>
        <v>0</v>
      </c>
      <c r="BK16" s="30"/>
      <c r="BL16" s="30">
        <v>11</v>
      </c>
      <c r="BW16" s="30">
        <v>21</v>
      </c>
      <c r="BX16" s="4" t="s">
        <v>65</v>
      </c>
    </row>
    <row r="17" spans="1:76" ht="15">
      <c r="A17" s="2" t="s">
        <v>66</v>
      </c>
      <c r="B17" s="3" t="s">
        <v>49</v>
      </c>
      <c r="C17" s="3" t="s">
        <v>67</v>
      </c>
      <c r="D17" s="116" t="s">
        <v>68</v>
      </c>
      <c r="E17" s="111"/>
      <c r="F17" s="3" t="s">
        <v>69</v>
      </c>
      <c r="G17" s="30">
        <v>171</v>
      </c>
      <c r="H17" s="31">
        <v>0</v>
      </c>
      <c r="I17" s="30">
        <f>G17*H17</f>
        <v>0</v>
      </c>
      <c r="J17" s="30">
        <v>0.22</v>
      </c>
      <c r="K17" s="32">
        <f>G17*J17</f>
        <v>37.62</v>
      </c>
      <c r="Z17" s="30">
        <f>IF(AQ17="5",BJ17,0)</f>
        <v>0</v>
      </c>
      <c r="AB17" s="30">
        <f>IF(AQ17="1",BH17,0)</f>
        <v>0</v>
      </c>
      <c r="AC17" s="30">
        <f>IF(AQ17="1",BI17,0)</f>
        <v>0</v>
      </c>
      <c r="AD17" s="30">
        <f>IF(AQ17="7",BH17,0)</f>
        <v>0</v>
      </c>
      <c r="AE17" s="30">
        <f>IF(AQ17="7",BI17,0)</f>
        <v>0</v>
      </c>
      <c r="AF17" s="30">
        <f>IF(AQ17="2",BH17,0)</f>
        <v>0</v>
      </c>
      <c r="AG17" s="30">
        <f>IF(AQ17="2",BI17,0)</f>
        <v>0</v>
      </c>
      <c r="AH17" s="30">
        <f>IF(AQ17="0",BJ17,0)</f>
        <v>0</v>
      </c>
      <c r="AI17" s="10" t="s">
        <v>49</v>
      </c>
      <c r="AJ17" s="30">
        <f>IF(AN17=0,I17,0)</f>
        <v>0</v>
      </c>
      <c r="AK17" s="30">
        <f>IF(AN17=12,I17,0)</f>
        <v>0</v>
      </c>
      <c r="AL17" s="30">
        <f>IF(AN17=21,I17,0)</f>
        <v>0</v>
      </c>
      <c r="AN17" s="30">
        <v>21</v>
      </c>
      <c r="AO17" s="30">
        <f>H17*0</f>
        <v>0</v>
      </c>
      <c r="AP17" s="30">
        <f>H17*(1-0)</f>
        <v>0</v>
      </c>
      <c r="AQ17" s="33" t="s">
        <v>53</v>
      </c>
      <c r="AV17" s="30">
        <f>AW17+AX17</f>
        <v>0</v>
      </c>
      <c r="AW17" s="30">
        <f>G17*AO17</f>
        <v>0</v>
      </c>
      <c r="AX17" s="30">
        <f>G17*AP17</f>
        <v>0</v>
      </c>
      <c r="AY17" s="33" t="s">
        <v>57</v>
      </c>
      <c r="AZ17" s="33" t="s">
        <v>58</v>
      </c>
      <c r="BA17" s="10" t="s">
        <v>59</v>
      </c>
      <c r="BC17" s="30">
        <f>AW17+AX17</f>
        <v>0</v>
      </c>
      <c r="BD17" s="30">
        <f>H17/(100-BE17)*100</f>
        <v>0</v>
      </c>
      <c r="BE17" s="30">
        <v>0</v>
      </c>
      <c r="BF17" s="30">
        <f>K17</f>
        <v>37.62</v>
      </c>
      <c r="BH17" s="30">
        <f>G17*AO17</f>
        <v>0</v>
      </c>
      <c r="BI17" s="30">
        <f>G17*AP17</f>
        <v>0</v>
      </c>
      <c r="BJ17" s="30">
        <f>G17*H17</f>
        <v>0</v>
      </c>
      <c r="BK17" s="30"/>
      <c r="BL17" s="30">
        <v>11</v>
      </c>
      <c r="BW17" s="30">
        <v>21</v>
      </c>
      <c r="BX17" s="4" t="s">
        <v>68</v>
      </c>
    </row>
    <row r="18" spans="1:47" ht="15">
      <c r="A18" s="25" t="s">
        <v>48</v>
      </c>
      <c r="B18" s="26" t="s">
        <v>49</v>
      </c>
      <c r="C18" s="26" t="s">
        <v>70</v>
      </c>
      <c r="D18" s="135" t="s">
        <v>71</v>
      </c>
      <c r="E18" s="136"/>
      <c r="F18" s="27" t="s">
        <v>4</v>
      </c>
      <c r="G18" s="27" t="s">
        <v>4</v>
      </c>
      <c r="H18" s="28" t="s">
        <v>4</v>
      </c>
      <c r="I18" s="1">
        <f>SUM(I19:I22)</f>
        <v>0</v>
      </c>
      <c r="J18" s="10" t="s">
        <v>48</v>
      </c>
      <c r="K18" s="29">
        <f>SUM(K19:K22)</f>
        <v>0</v>
      </c>
      <c r="AI18" s="10" t="s">
        <v>49</v>
      </c>
      <c r="AS18" s="1">
        <f>SUM(AJ19:AJ22)</f>
        <v>0</v>
      </c>
      <c r="AT18" s="1">
        <f>SUM(AK19:AK22)</f>
        <v>0</v>
      </c>
      <c r="AU18" s="1">
        <f>SUM(AL19:AL22)</f>
        <v>0</v>
      </c>
    </row>
    <row r="19" spans="1:76" ht="15">
      <c r="A19" s="2" t="s">
        <v>72</v>
      </c>
      <c r="B19" s="3" t="s">
        <v>49</v>
      </c>
      <c r="C19" s="3" t="s">
        <v>73</v>
      </c>
      <c r="D19" s="116" t="s">
        <v>74</v>
      </c>
      <c r="E19" s="111"/>
      <c r="F19" s="3" t="s">
        <v>75</v>
      </c>
      <c r="G19" s="30">
        <v>20.86</v>
      </c>
      <c r="H19" s="31">
        <v>0</v>
      </c>
      <c r="I19" s="30">
        <f>G19*H19</f>
        <v>0</v>
      </c>
      <c r="J19" s="30">
        <v>0</v>
      </c>
      <c r="K19" s="32">
        <f>G19*J19</f>
        <v>0</v>
      </c>
      <c r="Z19" s="30">
        <f>IF(AQ19="5",BJ19,0)</f>
        <v>0</v>
      </c>
      <c r="AB19" s="30">
        <f>IF(AQ19="1",BH19,0)</f>
        <v>0</v>
      </c>
      <c r="AC19" s="30">
        <f>IF(AQ19="1",BI19,0)</f>
        <v>0</v>
      </c>
      <c r="AD19" s="30">
        <f>IF(AQ19="7",BH19,0)</f>
        <v>0</v>
      </c>
      <c r="AE19" s="30">
        <f>IF(AQ19="7",BI19,0)</f>
        <v>0</v>
      </c>
      <c r="AF19" s="30">
        <f>IF(AQ19="2",BH19,0)</f>
        <v>0</v>
      </c>
      <c r="AG19" s="30">
        <f>IF(AQ19="2",BI19,0)</f>
        <v>0</v>
      </c>
      <c r="AH19" s="30">
        <f>IF(AQ19="0",BJ19,0)</f>
        <v>0</v>
      </c>
      <c r="AI19" s="10" t="s">
        <v>49</v>
      </c>
      <c r="AJ19" s="30">
        <f>IF(AN19=0,I19,0)</f>
        <v>0</v>
      </c>
      <c r="AK19" s="30">
        <f>IF(AN19=12,I19,0)</f>
        <v>0</v>
      </c>
      <c r="AL19" s="30">
        <f>IF(AN19=21,I19,0)</f>
        <v>0</v>
      </c>
      <c r="AN19" s="30">
        <v>21</v>
      </c>
      <c r="AO19" s="30">
        <f>H19*0</f>
        <v>0</v>
      </c>
      <c r="AP19" s="30">
        <f>H19*(1-0)</f>
        <v>0</v>
      </c>
      <c r="AQ19" s="33" t="s">
        <v>53</v>
      </c>
      <c r="AV19" s="30">
        <f>AW19+AX19</f>
        <v>0</v>
      </c>
      <c r="AW19" s="30">
        <f>G19*AO19</f>
        <v>0</v>
      </c>
      <c r="AX19" s="30">
        <f>G19*AP19</f>
        <v>0</v>
      </c>
      <c r="AY19" s="33" t="s">
        <v>76</v>
      </c>
      <c r="AZ19" s="33" t="s">
        <v>58</v>
      </c>
      <c r="BA19" s="10" t="s">
        <v>59</v>
      </c>
      <c r="BC19" s="30">
        <f>AW19+AX19</f>
        <v>0</v>
      </c>
      <c r="BD19" s="30">
        <f>H19/(100-BE19)*100</f>
        <v>0</v>
      </c>
      <c r="BE19" s="30">
        <v>0</v>
      </c>
      <c r="BF19" s="30">
        <f>K19</f>
        <v>0</v>
      </c>
      <c r="BH19" s="30">
        <f>G19*AO19</f>
        <v>0</v>
      </c>
      <c r="BI19" s="30">
        <f>G19*AP19</f>
        <v>0</v>
      </c>
      <c r="BJ19" s="30">
        <f>G19*H19</f>
        <v>0</v>
      </c>
      <c r="BK19" s="30"/>
      <c r="BL19" s="30">
        <v>12</v>
      </c>
      <c r="BW19" s="30">
        <v>21</v>
      </c>
      <c r="BX19" s="4" t="s">
        <v>74</v>
      </c>
    </row>
    <row r="20" spans="1:76" ht="15">
      <c r="A20" s="2" t="s">
        <v>77</v>
      </c>
      <c r="B20" s="3" t="s">
        <v>49</v>
      </c>
      <c r="C20" s="3" t="s">
        <v>78</v>
      </c>
      <c r="D20" s="116" t="s">
        <v>79</v>
      </c>
      <c r="E20" s="111"/>
      <c r="F20" s="3" t="s">
        <v>75</v>
      </c>
      <c r="G20" s="30">
        <v>204.4</v>
      </c>
      <c r="H20" s="31">
        <v>0</v>
      </c>
      <c r="I20" s="30">
        <f>G20*H20</f>
        <v>0</v>
      </c>
      <c r="J20" s="30">
        <v>0</v>
      </c>
      <c r="K20" s="32">
        <f>G20*J20</f>
        <v>0</v>
      </c>
      <c r="Z20" s="30">
        <f>IF(AQ20="5",BJ20,0)</f>
        <v>0</v>
      </c>
      <c r="AB20" s="30">
        <f>IF(AQ20="1",BH20,0)</f>
        <v>0</v>
      </c>
      <c r="AC20" s="30">
        <f>IF(AQ20="1",BI20,0)</f>
        <v>0</v>
      </c>
      <c r="AD20" s="30">
        <f>IF(AQ20="7",BH20,0)</f>
        <v>0</v>
      </c>
      <c r="AE20" s="30">
        <f>IF(AQ20="7",BI20,0)</f>
        <v>0</v>
      </c>
      <c r="AF20" s="30">
        <f>IF(AQ20="2",BH20,0)</f>
        <v>0</v>
      </c>
      <c r="AG20" s="30">
        <f>IF(AQ20="2",BI20,0)</f>
        <v>0</v>
      </c>
      <c r="AH20" s="30">
        <f>IF(AQ20="0",BJ20,0)</f>
        <v>0</v>
      </c>
      <c r="AI20" s="10" t="s">
        <v>49</v>
      </c>
      <c r="AJ20" s="30">
        <f>IF(AN20=0,I20,0)</f>
        <v>0</v>
      </c>
      <c r="AK20" s="30">
        <f>IF(AN20=12,I20,0)</f>
        <v>0</v>
      </c>
      <c r="AL20" s="30">
        <f>IF(AN20=21,I20,0)</f>
        <v>0</v>
      </c>
      <c r="AN20" s="30">
        <v>21</v>
      </c>
      <c r="AO20" s="30">
        <f>H20*0</f>
        <v>0</v>
      </c>
      <c r="AP20" s="30">
        <f>H20*(1-0)</f>
        <v>0</v>
      </c>
      <c r="AQ20" s="33" t="s">
        <v>53</v>
      </c>
      <c r="AV20" s="30">
        <f>AW20+AX20</f>
        <v>0</v>
      </c>
      <c r="AW20" s="30">
        <f>G20*AO20</f>
        <v>0</v>
      </c>
      <c r="AX20" s="30">
        <f>G20*AP20</f>
        <v>0</v>
      </c>
      <c r="AY20" s="33" t="s">
        <v>76</v>
      </c>
      <c r="AZ20" s="33" t="s">
        <v>58</v>
      </c>
      <c r="BA20" s="10" t="s">
        <v>59</v>
      </c>
      <c r="BC20" s="30">
        <f>AW20+AX20</f>
        <v>0</v>
      </c>
      <c r="BD20" s="30">
        <f>H20/(100-BE20)*100</f>
        <v>0</v>
      </c>
      <c r="BE20" s="30">
        <v>0</v>
      </c>
      <c r="BF20" s="30">
        <f>K20</f>
        <v>0</v>
      </c>
      <c r="BH20" s="30">
        <f>G20*AO20</f>
        <v>0</v>
      </c>
      <c r="BI20" s="30">
        <f>G20*AP20</f>
        <v>0</v>
      </c>
      <c r="BJ20" s="30">
        <f>G20*H20</f>
        <v>0</v>
      </c>
      <c r="BK20" s="30"/>
      <c r="BL20" s="30">
        <v>12</v>
      </c>
      <c r="BW20" s="30">
        <v>21</v>
      </c>
      <c r="BX20" s="4" t="s">
        <v>79</v>
      </c>
    </row>
    <row r="21" spans="1:76" ht="15">
      <c r="A21" s="2" t="s">
        <v>80</v>
      </c>
      <c r="B21" s="3" t="s">
        <v>49</v>
      </c>
      <c r="C21" s="3" t="s">
        <v>81</v>
      </c>
      <c r="D21" s="116" t="s">
        <v>82</v>
      </c>
      <c r="E21" s="111"/>
      <c r="F21" s="3" t="s">
        <v>75</v>
      </c>
      <c r="G21" s="30">
        <v>204.4</v>
      </c>
      <c r="H21" s="31">
        <v>0</v>
      </c>
      <c r="I21" s="30">
        <f>G21*H21</f>
        <v>0</v>
      </c>
      <c r="J21" s="30">
        <v>0</v>
      </c>
      <c r="K21" s="32">
        <f>G21*J21</f>
        <v>0</v>
      </c>
      <c r="Z21" s="30">
        <f>IF(AQ21="5",BJ21,0)</f>
        <v>0</v>
      </c>
      <c r="AB21" s="30">
        <f>IF(AQ21="1",BH21,0)</f>
        <v>0</v>
      </c>
      <c r="AC21" s="30">
        <f>IF(AQ21="1",BI21,0)</f>
        <v>0</v>
      </c>
      <c r="AD21" s="30">
        <f>IF(AQ21="7",BH21,0)</f>
        <v>0</v>
      </c>
      <c r="AE21" s="30">
        <f>IF(AQ21="7",BI21,0)</f>
        <v>0</v>
      </c>
      <c r="AF21" s="30">
        <f>IF(AQ21="2",BH21,0)</f>
        <v>0</v>
      </c>
      <c r="AG21" s="30">
        <f>IF(AQ21="2",BI21,0)</f>
        <v>0</v>
      </c>
      <c r="AH21" s="30">
        <f>IF(AQ21="0",BJ21,0)</f>
        <v>0</v>
      </c>
      <c r="AI21" s="10" t="s">
        <v>49</v>
      </c>
      <c r="AJ21" s="30">
        <f>IF(AN21=0,I21,0)</f>
        <v>0</v>
      </c>
      <c r="AK21" s="30">
        <f>IF(AN21=12,I21,0)</f>
        <v>0</v>
      </c>
      <c r="AL21" s="30">
        <f>IF(AN21=21,I21,0)</f>
        <v>0</v>
      </c>
      <c r="AN21" s="30">
        <v>21</v>
      </c>
      <c r="AO21" s="30">
        <f>H21*0</f>
        <v>0</v>
      </c>
      <c r="AP21" s="30">
        <f>H21*(1-0)</f>
        <v>0</v>
      </c>
      <c r="AQ21" s="33" t="s">
        <v>53</v>
      </c>
      <c r="AV21" s="30">
        <f>AW21+AX21</f>
        <v>0</v>
      </c>
      <c r="AW21" s="30">
        <f>G21*AO21</f>
        <v>0</v>
      </c>
      <c r="AX21" s="30">
        <f>G21*AP21</f>
        <v>0</v>
      </c>
      <c r="AY21" s="33" t="s">
        <v>76</v>
      </c>
      <c r="AZ21" s="33" t="s">
        <v>58</v>
      </c>
      <c r="BA21" s="10" t="s">
        <v>59</v>
      </c>
      <c r="BC21" s="30">
        <f>AW21+AX21</f>
        <v>0</v>
      </c>
      <c r="BD21" s="30">
        <f>H21/(100-BE21)*100</f>
        <v>0</v>
      </c>
      <c r="BE21" s="30">
        <v>0</v>
      </c>
      <c r="BF21" s="30">
        <f>K21</f>
        <v>0</v>
      </c>
      <c r="BH21" s="30">
        <f>G21*AO21</f>
        <v>0</v>
      </c>
      <c r="BI21" s="30">
        <f>G21*AP21</f>
        <v>0</v>
      </c>
      <c r="BJ21" s="30">
        <f>G21*H21</f>
        <v>0</v>
      </c>
      <c r="BK21" s="30"/>
      <c r="BL21" s="30">
        <v>12</v>
      </c>
      <c r="BW21" s="30">
        <v>21</v>
      </c>
      <c r="BX21" s="4" t="s">
        <v>82</v>
      </c>
    </row>
    <row r="22" spans="1:76" ht="15">
      <c r="A22" s="2" t="s">
        <v>83</v>
      </c>
      <c r="B22" s="3" t="s">
        <v>49</v>
      </c>
      <c r="C22" s="3" t="s">
        <v>84</v>
      </c>
      <c r="D22" s="116" t="s">
        <v>85</v>
      </c>
      <c r="E22" s="111"/>
      <c r="F22" s="3" t="s">
        <v>75</v>
      </c>
      <c r="G22" s="30">
        <v>6.4116</v>
      </c>
      <c r="H22" s="31">
        <v>0</v>
      </c>
      <c r="I22" s="30">
        <f>G22*H22</f>
        <v>0</v>
      </c>
      <c r="J22" s="30">
        <v>0</v>
      </c>
      <c r="K22" s="32">
        <f>G22*J22</f>
        <v>0</v>
      </c>
      <c r="Z22" s="30">
        <f>IF(AQ22="5",BJ22,0)</f>
        <v>0</v>
      </c>
      <c r="AB22" s="30">
        <f>IF(AQ22="1",BH22,0)</f>
        <v>0</v>
      </c>
      <c r="AC22" s="30">
        <f>IF(AQ22="1",BI22,0)</f>
        <v>0</v>
      </c>
      <c r="AD22" s="30">
        <f>IF(AQ22="7",BH22,0)</f>
        <v>0</v>
      </c>
      <c r="AE22" s="30">
        <f>IF(AQ22="7",BI22,0)</f>
        <v>0</v>
      </c>
      <c r="AF22" s="30">
        <f>IF(AQ22="2",BH22,0)</f>
        <v>0</v>
      </c>
      <c r="AG22" s="30">
        <f>IF(AQ22="2",BI22,0)</f>
        <v>0</v>
      </c>
      <c r="AH22" s="30">
        <f>IF(AQ22="0",BJ22,0)</f>
        <v>0</v>
      </c>
      <c r="AI22" s="10" t="s">
        <v>49</v>
      </c>
      <c r="AJ22" s="30">
        <f>IF(AN22=0,I22,0)</f>
        <v>0</v>
      </c>
      <c r="AK22" s="30">
        <f>IF(AN22=12,I22,0)</f>
        <v>0</v>
      </c>
      <c r="AL22" s="30">
        <f>IF(AN22=21,I22,0)</f>
        <v>0</v>
      </c>
      <c r="AN22" s="30">
        <v>21</v>
      </c>
      <c r="AO22" s="30">
        <f>H22*0</f>
        <v>0</v>
      </c>
      <c r="AP22" s="30">
        <f>H22*(1-0)</f>
        <v>0</v>
      </c>
      <c r="AQ22" s="33" t="s">
        <v>53</v>
      </c>
      <c r="AV22" s="30">
        <f>AW22+AX22</f>
        <v>0</v>
      </c>
      <c r="AW22" s="30">
        <f>G22*AO22</f>
        <v>0</v>
      </c>
      <c r="AX22" s="30">
        <f>G22*AP22</f>
        <v>0</v>
      </c>
      <c r="AY22" s="33" t="s">
        <v>76</v>
      </c>
      <c r="AZ22" s="33" t="s">
        <v>58</v>
      </c>
      <c r="BA22" s="10" t="s">
        <v>59</v>
      </c>
      <c r="BC22" s="30">
        <f>AW22+AX22</f>
        <v>0</v>
      </c>
      <c r="BD22" s="30">
        <f>H22/(100-BE22)*100</f>
        <v>0</v>
      </c>
      <c r="BE22" s="30">
        <v>0</v>
      </c>
      <c r="BF22" s="30">
        <f>K22</f>
        <v>0</v>
      </c>
      <c r="BH22" s="30">
        <f>G22*AO22</f>
        <v>0</v>
      </c>
      <c r="BI22" s="30">
        <f>G22*AP22</f>
        <v>0</v>
      </c>
      <c r="BJ22" s="30">
        <f>G22*H22</f>
        <v>0</v>
      </c>
      <c r="BK22" s="30"/>
      <c r="BL22" s="30">
        <v>12</v>
      </c>
      <c r="BW22" s="30">
        <v>21</v>
      </c>
      <c r="BX22" s="4" t="s">
        <v>85</v>
      </c>
    </row>
    <row r="23" spans="1:47" ht="15">
      <c r="A23" s="25" t="s">
        <v>48</v>
      </c>
      <c r="B23" s="26" t="s">
        <v>49</v>
      </c>
      <c r="C23" s="26" t="s">
        <v>86</v>
      </c>
      <c r="D23" s="135" t="s">
        <v>87</v>
      </c>
      <c r="E23" s="136"/>
      <c r="F23" s="27" t="s">
        <v>4</v>
      </c>
      <c r="G23" s="27" t="s">
        <v>4</v>
      </c>
      <c r="H23" s="28" t="s">
        <v>4</v>
      </c>
      <c r="I23" s="1">
        <f>SUM(I24:I28)</f>
        <v>0</v>
      </c>
      <c r="J23" s="10" t="s">
        <v>48</v>
      </c>
      <c r="K23" s="29">
        <f>SUM(K24:K28)</f>
        <v>0</v>
      </c>
      <c r="AI23" s="10" t="s">
        <v>49</v>
      </c>
      <c r="AS23" s="1">
        <f>SUM(AJ24:AJ28)</f>
        <v>0</v>
      </c>
      <c r="AT23" s="1">
        <f>SUM(AK24:AK28)</f>
        <v>0</v>
      </c>
      <c r="AU23" s="1">
        <f>SUM(AL24:AL28)</f>
        <v>0</v>
      </c>
    </row>
    <row r="24" spans="1:76" ht="15">
      <c r="A24" s="2" t="s">
        <v>88</v>
      </c>
      <c r="B24" s="3" t="s">
        <v>49</v>
      </c>
      <c r="C24" s="3" t="s">
        <v>89</v>
      </c>
      <c r="D24" s="116" t="s">
        <v>90</v>
      </c>
      <c r="E24" s="111"/>
      <c r="F24" s="3" t="s">
        <v>75</v>
      </c>
      <c r="G24" s="30">
        <v>183.54</v>
      </c>
      <c r="H24" s="31">
        <v>0</v>
      </c>
      <c r="I24" s="30">
        <f>G24*H24</f>
        <v>0</v>
      </c>
      <c r="J24" s="30">
        <v>0</v>
      </c>
      <c r="K24" s="32">
        <f>G24*J24</f>
        <v>0</v>
      </c>
      <c r="Z24" s="30">
        <f>IF(AQ24="5",BJ24,0)</f>
        <v>0</v>
      </c>
      <c r="AB24" s="30">
        <f>IF(AQ24="1",BH24,0)</f>
        <v>0</v>
      </c>
      <c r="AC24" s="30">
        <f>IF(AQ24="1",BI24,0)</f>
        <v>0</v>
      </c>
      <c r="AD24" s="30">
        <f>IF(AQ24="7",BH24,0)</f>
        <v>0</v>
      </c>
      <c r="AE24" s="30">
        <f>IF(AQ24="7",BI24,0)</f>
        <v>0</v>
      </c>
      <c r="AF24" s="30">
        <f>IF(AQ24="2",BH24,0)</f>
        <v>0</v>
      </c>
      <c r="AG24" s="30">
        <f>IF(AQ24="2",BI24,0)</f>
        <v>0</v>
      </c>
      <c r="AH24" s="30">
        <f>IF(AQ24="0",BJ24,0)</f>
        <v>0</v>
      </c>
      <c r="AI24" s="10" t="s">
        <v>49</v>
      </c>
      <c r="AJ24" s="30">
        <f>IF(AN24=0,I24,0)</f>
        <v>0</v>
      </c>
      <c r="AK24" s="30">
        <f>IF(AN24=12,I24,0)</f>
        <v>0</v>
      </c>
      <c r="AL24" s="30">
        <f>IF(AN24=21,I24,0)</f>
        <v>0</v>
      </c>
      <c r="AN24" s="30">
        <v>21</v>
      </c>
      <c r="AO24" s="30">
        <f>H24*0</f>
        <v>0</v>
      </c>
      <c r="AP24" s="30">
        <f>H24*(1-0)</f>
        <v>0</v>
      </c>
      <c r="AQ24" s="33" t="s">
        <v>53</v>
      </c>
      <c r="AV24" s="30">
        <f>AW24+AX24</f>
        <v>0</v>
      </c>
      <c r="AW24" s="30">
        <f>G24*AO24</f>
        <v>0</v>
      </c>
      <c r="AX24" s="30">
        <f>G24*AP24</f>
        <v>0</v>
      </c>
      <c r="AY24" s="33" t="s">
        <v>91</v>
      </c>
      <c r="AZ24" s="33" t="s">
        <v>58</v>
      </c>
      <c r="BA24" s="10" t="s">
        <v>59</v>
      </c>
      <c r="BC24" s="30">
        <f>AW24+AX24</f>
        <v>0</v>
      </c>
      <c r="BD24" s="30">
        <f>H24/(100-BE24)*100</f>
        <v>0</v>
      </c>
      <c r="BE24" s="30">
        <v>0</v>
      </c>
      <c r="BF24" s="30">
        <f>K24</f>
        <v>0</v>
      </c>
      <c r="BH24" s="30">
        <f>G24*AO24</f>
        <v>0</v>
      </c>
      <c r="BI24" s="30">
        <f>G24*AP24</f>
        <v>0</v>
      </c>
      <c r="BJ24" s="30">
        <f>G24*H24</f>
        <v>0</v>
      </c>
      <c r="BK24" s="30"/>
      <c r="BL24" s="30">
        <v>16</v>
      </c>
      <c r="BW24" s="30">
        <v>21</v>
      </c>
      <c r="BX24" s="4" t="s">
        <v>90</v>
      </c>
    </row>
    <row r="25" spans="1:76" ht="15">
      <c r="A25" s="2" t="s">
        <v>92</v>
      </c>
      <c r="B25" s="3" t="s">
        <v>49</v>
      </c>
      <c r="C25" s="3" t="s">
        <v>93</v>
      </c>
      <c r="D25" s="116" t="s">
        <v>94</v>
      </c>
      <c r="E25" s="111"/>
      <c r="F25" s="3" t="s">
        <v>75</v>
      </c>
      <c r="G25" s="30">
        <v>183.54</v>
      </c>
      <c r="H25" s="31">
        <v>0</v>
      </c>
      <c r="I25" s="30">
        <f>G25*H25</f>
        <v>0</v>
      </c>
      <c r="J25" s="30">
        <v>0</v>
      </c>
      <c r="K25" s="32">
        <f>G25*J25</f>
        <v>0</v>
      </c>
      <c r="Z25" s="30">
        <f>IF(AQ25="5",BJ25,0)</f>
        <v>0</v>
      </c>
      <c r="AB25" s="30">
        <f>IF(AQ25="1",BH25,0)</f>
        <v>0</v>
      </c>
      <c r="AC25" s="30">
        <f>IF(AQ25="1",BI25,0)</f>
        <v>0</v>
      </c>
      <c r="AD25" s="30">
        <f>IF(AQ25="7",BH25,0)</f>
        <v>0</v>
      </c>
      <c r="AE25" s="30">
        <f>IF(AQ25="7",BI25,0)</f>
        <v>0</v>
      </c>
      <c r="AF25" s="30">
        <f>IF(AQ25="2",BH25,0)</f>
        <v>0</v>
      </c>
      <c r="AG25" s="30">
        <f>IF(AQ25="2",BI25,0)</f>
        <v>0</v>
      </c>
      <c r="AH25" s="30">
        <f>IF(AQ25="0",BJ25,0)</f>
        <v>0</v>
      </c>
      <c r="AI25" s="10" t="s">
        <v>49</v>
      </c>
      <c r="AJ25" s="30">
        <f>IF(AN25=0,I25,0)</f>
        <v>0</v>
      </c>
      <c r="AK25" s="30">
        <f>IF(AN25=12,I25,0)</f>
        <v>0</v>
      </c>
      <c r="AL25" s="30">
        <f>IF(AN25=21,I25,0)</f>
        <v>0</v>
      </c>
      <c r="AN25" s="30">
        <v>21</v>
      </c>
      <c r="AO25" s="30">
        <f>H25*0</f>
        <v>0</v>
      </c>
      <c r="AP25" s="30">
        <f>H25*(1-0)</f>
        <v>0</v>
      </c>
      <c r="AQ25" s="33" t="s">
        <v>53</v>
      </c>
      <c r="AV25" s="30">
        <f>AW25+AX25</f>
        <v>0</v>
      </c>
      <c r="AW25" s="30">
        <f>G25*AO25</f>
        <v>0</v>
      </c>
      <c r="AX25" s="30">
        <f>G25*AP25</f>
        <v>0</v>
      </c>
      <c r="AY25" s="33" t="s">
        <v>91</v>
      </c>
      <c r="AZ25" s="33" t="s">
        <v>58</v>
      </c>
      <c r="BA25" s="10" t="s">
        <v>59</v>
      </c>
      <c r="BC25" s="30">
        <f>AW25+AX25</f>
        <v>0</v>
      </c>
      <c r="BD25" s="30">
        <f>H25/(100-BE25)*100</f>
        <v>0</v>
      </c>
      <c r="BE25" s="30">
        <v>0</v>
      </c>
      <c r="BF25" s="30">
        <f>K25</f>
        <v>0</v>
      </c>
      <c r="BH25" s="30">
        <f>G25*AO25</f>
        <v>0</v>
      </c>
      <c r="BI25" s="30">
        <f>G25*AP25</f>
        <v>0</v>
      </c>
      <c r="BJ25" s="30">
        <f>G25*H25</f>
        <v>0</v>
      </c>
      <c r="BK25" s="30"/>
      <c r="BL25" s="30">
        <v>16</v>
      </c>
      <c r="BW25" s="30">
        <v>21</v>
      </c>
      <c r="BX25" s="4" t="s">
        <v>94</v>
      </c>
    </row>
    <row r="26" spans="1:76" ht="15">
      <c r="A26" s="2" t="s">
        <v>51</v>
      </c>
      <c r="B26" s="3" t="s">
        <v>49</v>
      </c>
      <c r="C26" s="3" t="s">
        <v>95</v>
      </c>
      <c r="D26" s="116" t="s">
        <v>96</v>
      </c>
      <c r="E26" s="111"/>
      <c r="F26" s="3" t="s">
        <v>75</v>
      </c>
      <c r="G26" s="30">
        <v>183.54</v>
      </c>
      <c r="H26" s="31">
        <v>0</v>
      </c>
      <c r="I26" s="30">
        <f>G26*H26</f>
        <v>0</v>
      </c>
      <c r="J26" s="30">
        <v>0</v>
      </c>
      <c r="K26" s="32">
        <f>G26*J26</f>
        <v>0</v>
      </c>
      <c r="Z26" s="30">
        <f>IF(AQ26="5",BJ26,0)</f>
        <v>0</v>
      </c>
      <c r="AB26" s="30">
        <f>IF(AQ26="1",BH26,0)</f>
        <v>0</v>
      </c>
      <c r="AC26" s="30">
        <f>IF(AQ26="1",BI26,0)</f>
        <v>0</v>
      </c>
      <c r="AD26" s="30">
        <f>IF(AQ26="7",BH26,0)</f>
        <v>0</v>
      </c>
      <c r="AE26" s="30">
        <f>IF(AQ26="7",BI26,0)</f>
        <v>0</v>
      </c>
      <c r="AF26" s="30">
        <f>IF(AQ26="2",BH26,0)</f>
        <v>0</v>
      </c>
      <c r="AG26" s="30">
        <f>IF(AQ26="2",BI26,0)</f>
        <v>0</v>
      </c>
      <c r="AH26" s="30">
        <f>IF(AQ26="0",BJ26,0)</f>
        <v>0</v>
      </c>
      <c r="AI26" s="10" t="s">
        <v>49</v>
      </c>
      <c r="AJ26" s="30">
        <f>IF(AN26=0,I26,0)</f>
        <v>0</v>
      </c>
      <c r="AK26" s="30">
        <f>IF(AN26=12,I26,0)</f>
        <v>0</v>
      </c>
      <c r="AL26" s="30">
        <f>IF(AN26=21,I26,0)</f>
        <v>0</v>
      </c>
      <c r="AN26" s="30">
        <v>21</v>
      </c>
      <c r="AO26" s="30">
        <f>H26*0</f>
        <v>0</v>
      </c>
      <c r="AP26" s="30">
        <f>H26*(1-0)</f>
        <v>0</v>
      </c>
      <c r="AQ26" s="33" t="s">
        <v>53</v>
      </c>
      <c r="AV26" s="30">
        <f>AW26+AX26</f>
        <v>0</v>
      </c>
      <c r="AW26" s="30">
        <f>G26*AO26</f>
        <v>0</v>
      </c>
      <c r="AX26" s="30">
        <f>G26*AP26</f>
        <v>0</v>
      </c>
      <c r="AY26" s="33" t="s">
        <v>91</v>
      </c>
      <c r="AZ26" s="33" t="s">
        <v>58</v>
      </c>
      <c r="BA26" s="10" t="s">
        <v>59</v>
      </c>
      <c r="BC26" s="30">
        <f>AW26+AX26</f>
        <v>0</v>
      </c>
      <c r="BD26" s="30">
        <f>H26/(100-BE26)*100</f>
        <v>0</v>
      </c>
      <c r="BE26" s="30">
        <v>0</v>
      </c>
      <c r="BF26" s="30">
        <f>K26</f>
        <v>0</v>
      </c>
      <c r="BH26" s="30">
        <f>G26*AO26</f>
        <v>0</v>
      </c>
      <c r="BI26" s="30">
        <f>G26*AP26</f>
        <v>0</v>
      </c>
      <c r="BJ26" s="30">
        <f>G26*H26</f>
        <v>0</v>
      </c>
      <c r="BK26" s="30"/>
      <c r="BL26" s="30">
        <v>16</v>
      </c>
      <c r="BW26" s="30">
        <v>21</v>
      </c>
      <c r="BX26" s="4" t="s">
        <v>96</v>
      </c>
    </row>
    <row r="27" spans="1:76" ht="15">
      <c r="A27" s="2" t="s">
        <v>70</v>
      </c>
      <c r="B27" s="3" t="s">
        <v>49</v>
      </c>
      <c r="C27" s="3" t="s">
        <v>97</v>
      </c>
      <c r="D27" s="116" t="s">
        <v>98</v>
      </c>
      <c r="E27" s="111"/>
      <c r="F27" s="3" t="s">
        <v>75</v>
      </c>
      <c r="G27" s="30">
        <v>1284.78</v>
      </c>
      <c r="H27" s="31">
        <v>0</v>
      </c>
      <c r="I27" s="30">
        <f>G27*H27</f>
        <v>0</v>
      </c>
      <c r="J27" s="30">
        <v>0</v>
      </c>
      <c r="K27" s="32">
        <f>G27*J27</f>
        <v>0</v>
      </c>
      <c r="Z27" s="30">
        <f>IF(AQ27="5",BJ27,0)</f>
        <v>0</v>
      </c>
      <c r="AB27" s="30">
        <f>IF(AQ27="1",BH27,0)</f>
        <v>0</v>
      </c>
      <c r="AC27" s="30">
        <f>IF(AQ27="1",BI27,0)</f>
        <v>0</v>
      </c>
      <c r="AD27" s="30">
        <f>IF(AQ27="7",BH27,0)</f>
        <v>0</v>
      </c>
      <c r="AE27" s="30">
        <f>IF(AQ27="7",BI27,0)</f>
        <v>0</v>
      </c>
      <c r="AF27" s="30">
        <f>IF(AQ27="2",BH27,0)</f>
        <v>0</v>
      </c>
      <c r="AG27" s="30">
        <f>IF(AQ27="2",BI27,0)</f>
        <v>0</v>
      </c>
      <c r="AH27" s="30">
        <f>IF(AQ27="0",BJ27,0)</f>
        <v>0</v>
      </c>
      <c r="AI27" s="10" t="s">
        <v>49</v>
      </c>
      <c r="AJ27" s="30">
        <f>IF(AN27=0,I27,0)</f>
        <v>0</v>
      </c>
      <c r="AK27" s="30">
        <f>IF(AN27=12,I27,0)</f>
        <v>0</v>
      </c>
      <c r="AL27" s="30">
        <f>IF(AN27=21,I27,0)</f>
        <v>0</v>
      </c>
      <c r="AN27" s="30">
        <v>21</v>
      </c>
      <c r="AO27" s="30">
        <f>H27*0</f>
        <v>0</v>
      </c>
      <c r="AP27" s="30">
        <f>H27*(1-0)</f>
        <v>0</v>
      </c>
      <c r="AQ27" s="33" t="s">
        <v>53</v>
      </c>
      <c r="AV27" s="30">
        <f>AW27+AX27</f>
        <v>0</v>
      </c>
      <c r="AW27" s="30">
        <f>G27*AO27</f>
        <v>0</v>
      </c>
      <c r="AX27" s="30">
        <f>G27*AP27</f>
        <v>0</v>
      </c>
      <c r="AY27" s="33" t="s">
        <v>91</v>
      </c>
      <c r="AZ27" s="33" t="s">
        <v>58</v>
      </c>
      <c r="BA27" s="10" t="s">
        <v>59</v>
      </c>
      <c r="BC27" s="30">
        <f>AW27+AX27</f>
        <v>0</v>
      </c>
      <c r="BD27" s="30">
        <f>H27/(100-BE27)*100</f>
        <v>0</v>
      </c>
      <c r="BE27" s="30">
        <v>0</v>
      </c>
      <c r="BF27" s="30">
        <f>K27</f>
        <v>0</v>
      </c>
      <c r="BH27" s="30">
        <f>G27*AO27</f>
        <v>0</v>
      </c>
      <c r="BI27" s="30">
        <f>G27*AP27</f>
        <v>0</v>
      </c>
      <c r="BJ27" s="30">
        <f>G27*H27</f>
        <v>0</v>
      </c>
      <c r="BK27" s="30"/>
      <c r="BL27" s="30">
        <v>16</v>
      </c>
      <c r="BW27" s="30">
        <v>21</v>
      </c>
      <c r="BX27" s="4" t="s">
        <v>98</v>
      </c>
    </row>
    <row r="28" spans="1:76" ht="15">
      <c r="A28" s="2" t="s">
        <v>99</v>
      </c>
      <c r="B28" s="3" t="s">
        <v>49</v>
      </c>
      <c r="C28" s="3" t="s">
        <v>100</v>
      </c>
      <c r="D28" s="116" t="s">
        <v>101</v>
      </c>
      <c r="E28" s="111"/>
      <c r="F28" s="3" t="s">
        <v>102</v>
      </c>
      <c r="G28" s="30">
        <v>296.604</v>
      </c>
      <c r="H28" s="31">
        <v>0</v>
      </c>
      <c r="I28" s="30">
        <f>G28*H28</f>
        <v>0</v>
      </c>
      <c r="J28" s="30">
        <v>0</v>
      </c>
      <c r="K28" s="32">
        <f>G28*J28</f>
        <v>0</v>
      </c>
      <c r="Z28" s="30">
        <f>IF(AQ28="5",BJ28,0)</f>
        <v>0</v>
      </c>
      <c r="AB28" s="30">
        <f>IF(AQ28="1",BH28,0)</f>
        <v>0</v>
      </c>
      <c r="AC28" s="30">
        <f>IF(AQ28="1",BI28,0)</f>
        <v>0</v>
      </c>
      <c r="AD28" s="30">
        <f>IF(AQ28="7",BH28,0)</f>
        <v>0</v>
      </c>
      <c r="AE28" s="30">
        <f>IF(AQ28="7",BI28,0)</f>
        <v>0</v>
      </c>
      <c r="AF28" s="30">
        <f>IF(AQ28="2",BH28,0)</f>
        <v>0</v>
      </c>
      <c r="AG28" s="30">
        <f>IF(AQ28="2",BI28,0)</f>
        <v>0</v>
      </c>
      <c r="AH28" s="30">
        <f>IF(AQ28="0",BJ28,0)</f>
        <v>0</v>
      </c>
      <c r="AI28" s="10" t="s">
        <v>49</v>
      </c>
      <c r="AJ28" s="30">
        <f>IF(AN28=0,I28,0)</f>
        <v>0</v>
      </c>
      <c r="AK28" s="30">
        <f>IF(AN28=12,I28,0)</f>
        <v>0</v>
      </c>
      <c r="AL28" s="30">
        <f>IF(AN28=21,I28,0)</f>
        <v>0</v>
      </c>
      <c r="AN28" s="30">
        <v>21</v>
      </c>
      <c r="AO28" s="30">
        <f>H28*0</f>
        <v>0</v>
      </c>
      <c r="AP28" s="30">
        <f>H28*(1-0)</f>
        <v>0</v>
      </c>
      <c r="AQ28" s="33" t="s">
        <v>53</v>
      </c>
      <c r="AV28" s="30">
        <f>AW28+AX28</f>
        <v>0</v>
      </c>
      <c r="AW28" s="30">
        <f>G28*AO28</f>
        <v>0</v>
      </c>
      <c r="AX28" s="30">
        <f>G28*AP28</f>
        <v>0</v>
      </c>
      <c r="AY28" s="33" t="s">
        <v>91</v>
      </c>
      <c r="AZ28" s="33" t="s">
        <v>58</v>
      </c>
      <c r="BA28" s="10" t="s">
        <v>59</v>
      </c>
      <c r="BC28" s="30">
        <f>AW28+AX28</f>
        <v>0</v>
      </c>
      <c r="BD28" s="30">
        <f>H28/(100-BE28)*100</f>
        <v>0</v>
      </c>
      <c r="BE28" s="30">
        <v>0</v>
      </c>
      <c r="BF28" s="30">
        <f>K28</f>
        <v>0</v>
      </c>
      <c r="BH28" s="30">
        <f>G28*AO28</f>
        <v>0</v>
      </c>
      <c r="BI28" s="30">
        <f>G28*AP28</f>
        <v>0</v>
      </c>
      <c r="BJ28" s="30">
        <f>G28*H28</f>
        <v>0</v>
      </c>
      <c r="BK28" s="30"/>
      <c r="BL28" s="30">
        <v>16</v>
      </c>
      <c r="BW28" s="30">
        <v>21</v>
      </c>
      <c r="BX28" s="4" t="s">
        <v>101</v>
      </c>
    </row>
    <row r="29" spans="1:47" ht="15">
      <c r="A29" s="25" t="s">
        <v>48</v>
      </c>
      <c r="B29" s="26" t="s">
        <v>49</v>
      </c>
      <c r="C29" s="26" t="s">
        <v>103</v>
      </c>
      <c r="D29" s="135" t="s">
        <v>104</v>
      </c>
      <c r="E29" s="136"/>
      <c r="F29" s="27" t="s">
        <v>4</v>
      </c>
      <c r="G29" s="27" t="s">
        <v>4</v>
      </c>
      <c r="H29" s="28" t="s">
        <v>4</v>
      </c>
      <c r="I29" s="1">
        <f>SUM(I30:I30)</f>
        <v>0</v>
      </c>
      <c r="J29" s="10" t="s">
        <v>48</v>
      </c>
      <c r="K29" s="29">
        <f>SUM(K30:K30)</f>
        <v>0</v>
      </c>
      <c r="AI29" s="10" t="s">
        <v>49</v>
      </c>
      <c r="AS29" s="1">
        <f>SUM(AJ30:AJ30)</f>
        <v>0</v>
      </c>
      <c r="AT29" s="1">
        <f>SUM(AK30:AK30)</f>
        <v>0</v>
      </c>
      <c r="AU29" s="1">
        <f>SUM(AL30:AL30)</f>
        <v>0</v>
      </c>
    </row>
    <row r="30" spans="1:76" ht="15">
      <c r="A30" s="2" t="s">
        <v>105</v>
      </c>
      <c r="B30" s="3" t="s">
        <v>49</v>
      </c>
      <c r="C30" s="3" t="s">
        <v>106</v>
      </c>
      <c r="D30" s="116" t="s">
        <v>107</v>
      </c>
      <c r="E30" s="111"/>
      <c r="F30" s="3" t="s">
        <v>75</v>
      </c>
      <c r="G30" s="30">
        <v>18.76</v>
      </c>
      <c r="H30" s="31">
        <v>0</v>
      </c>
      <c r="I30" s="30">
        <f>G30*H30</f>
        <v>0</v>
      </c>
      <c r="J30" s="30">
        <v>0</v>
      </c>
      <c r="K30" s="32">
        <f>G30*J30</f>
        <v>0</v>
      </c>
      <c r="Z30" s="30">
        <f>IF(AQ30="5",BJ30,0)</f>
        <v>0</v>
      </c>
      <c r="AB30" s="30">
        <f>IF(AQ30="1",BH30,0)</f>
        <v>0</v>
      </c>
      <c r="AC30" s="30">
        <f>IF(AQ30="1",BI30,0)</f>
        <v>0</v>
      </c>
      <c r="AD30" s="30">
        <f>IF(AQ30="7",BH30,0)</f>
        <v>0</v>
      </c>
      <c r="AE30" s="30">
        <f>IF(AQ30="7",BI30,0)</f>
        <v>0</v>
      </c>
      <c r="AF30" s="30">
        <f>IF(AQ30="2",BH30,0)</f>
        <v>0</v>
      </c>
      <c r="AG30" s="30">
        <f>IF(AQ30="2",BI30,0)</f>
        <v>0</v>
      </c>
      <c r="AH30" s="30">
        <f>IF(AQ30="0",BJ30,0)</f>
        <v>0</v>
      </c>
      <c r="AI30" s="10" t="s">
        <v>49</v>
      </c>
      <c r="AJ30" s="30">
        <f>IF(AN30=0,I30,0)</f>
        <v>0</v>
      </c>
      <c r="AK30" s="30">
        <f>IF(AN30=12,I30,0)</f>
        <v>0</v>
      </c>
      <c r="AL30" s="30">
        <f>IF(AN30=21,I30,0)</f>
        <v>0</v>
      </c>
      <c r="AN30" s="30">
        <v>21</v>
      </c>
      <c r="AO30" s="30">
        <f>H30*0</f>
        <v>0</v>
      </c>
      <c r="AP30" s="30">
        <f>H30*(1-0)</f>
        <v>0</v>
      </c>
      <c r="AQ30" s="33" t="s">
        <v>53</v>
      </c>
      <c r="AV30" s="30">
        <f>AW30+AX30</f>
        <v>0</v>
      </c>
      <c r="AW30" s="30">
        <f>G30*AO30</f>
        <v>0</v>
      </c>
      <c r="AX30" s="30">
        <f>G30*AP30</f>
        <v>0</v>
      </c>
      <c r="AY30" s="33" t="s">
        <v>108</v>
      </c>
      <c r="AZ30" s="33" t="s">
        <v>58</v>
      </c>
      <c r="BA30" s="10" t="s">
        <v>59</v>
      </c>
      <c r="BC30" s="30">
        <f>AW30+AX30</f>
        <v>0</v>
      </c>
      <c r="BD30" s="30">
        <f>H30/(100-BE30)*100</f>
        <v>0</v>
      </c>
      <c r="BE30" s="30">
        <v>0</v>
      </c>
      <c r="BF30" s="30">
        <f>K30</f>
        <v>0</v>
      </c>
      <c r="BH30" s="30">
        <f>G30*AO30</f>
        <v>0</v>
      </c>
      <c r="BI30" s="30">
        <f>G30*AP30</f>
        <v>0</v>
      </c>
      <c r="BJ30" s="30">
        <f>G30*H30</f>
        <v>0</v>
      </c>
      <c r="BK30" s="30"/>
      <c r="BL30" s="30">
        <v>17</v>
      </c>
      <c r="BW30" s="30">
        <v>21</v>
      </c>
      <c r="BX30" s="4" t="s">
        <v>107</v>
      </c>
    </row>
    <row r="31" spans="1:47" ht="15">
      <c r="A31" s="25" t="s">
        <v>48</v>
      </c>
      <c r="B31" s="26" t="s">
        <v>49</v>
      </c>
      <c r="C31" s="26" t="s">
        <v>109</v>
      </c>
      <c r="D31" s="135" t="s">
        <v>110</v>
      </c>
      <c r="E31" s="136"/>
      <c r="F31" s="27" t="s">
        <v>4</v>
      </c>
      <c r="G31" s="27" t="s">
        <v>4</v>
      </c>
      <c r="H31" s="28" t="s">
        <v>4</v>
      </c>
      <c r="I31" s="1">
        <f>SUM(I32:I59)</f>
        <v>0</v>
      </c>
      <c r="J31" s="10" t="s">
        <v>48</v>
      </c>
      <c r="K31" s="29">
        <f>SUM(K32:K59)</f>
        <v>0.1054244</v>
      </c>
      <c r="AI31" s="10" t="s">
        <v>49</v>
      </c>
      <c r="AS31" s="1">
        <f>SUM(AJ32:AJ59)</f>
        <v>0</v>
      </c>
      <c r="AT31" s="1">
        <f>SUM(AK32:AK59)</f>
        <v>0</v>
      </c>
      <c r="AU31" s="1">
        <f>SUM(AL32:AL59)</f>
        <v>0</v>
      </c>
    </row>
    <row r="32" spans="1:76" ht="15">
      <c r="A32" s="2" t="s">
        <v>111</v>
      </c>
      <c r="B32" s="3" t="s">
        <v>49</v>
      </c>
      <c r="C32" s="3" t="s">
        <v>112</v>
      </c>
      <c r="D32" s="116" t="s">
        <v>113</v>
      </c>
      <c r="E32" s="111"/>
      <c r="F32" s="3" t="s">
        <v>56</v>
      </c>
      <c r="G32" s="30">
        <v>208.86</v>
      </c>
      <c r="H32" s="31">
        <v>0</v>
      </c>
      <c r="I32" s="30">
        <f aca="true" t="shared" si="0" ref="I32:I59">G32*H32</f>
        <v>0</v>
      </c>
      <c r="J32" s="30">
        <v>0</v>
      </c>
      <c r="K32" s="32">
        <f aca="true" t="shared" si="1" ref="K32:K59">G32*J32</f>
        <v>0</v>
      </c>
      <c r="Z32" s="30">
        <f aca="true" t="shared" si="2" ref="Z32:Z59">IF(AQ32="5",BJ32,0)</f>
        <v>0</v>
      </c>
      <c r="AB32" s="30">
        <f aca="true" t="shared" si="3" ref="AB32:AB59">IF(AQ32="1",BH32,0)</f>
        <v>0</v>
      </c>
      <c r="AC32" s="30">
        <f aca="true" t="shared" si="4" ref="AC32:AC59">IF(AQ32="1",BI32,0)</f>
        <v>0</v>
      </c>
      <c r="AD32" s="30">
        <f aca="true" t="shared" si="5" ref="AD32:AD59">IF(AQ32="7",BH32,0)</f>
        <v>0</v>
      </c>
      <c r="AE32" s="30">
        <f aca="true" t="shared" si="6" ref="AE32:AE59">IF(AQ32="7",BI32,0)</f>
        <v>0</v>
      </c>
      <c r="AF32" s="30">
        <f aca="true" t="shared" si="7" ref="AF32:AF59">IF(AQ32="2",BH32,0)</f>
        <v>0</v>
      </c>
      <c r="AG32" s="30">
        <f aca="true" t="shared" si="8" ref="AG32:AG59">IF(AQ32="2",BI32,0)</f>
        <v>0</v>
      </c>
      <c r="AH32" s="30">
        <f aca="true" t="shared" si="9" ref="AH32:AH59">IF(AQ32="0",BJ32,0)</f>
        <v>0</v>
      </c>
      <c r="AI32" s="10" t="s">
        <v>49</v>
      </c>
      <c r="AJ32" s="30">
        <f aca="true" t="shared" si="10" ref="AJ32:AJ59">IF(AN32=0,I32,0)</f>
        <v>0</v>
      </c>
      <c r="AK32" s="30">
        <f aca="true" t="shared" si="11" ref="AK32:AK59">IF(AN32=12,I32,0)</f>
        <v>0</v>
      </c>
      <c r="AL32" s="30">
        <f aca="true" t="shared" si="12" ref="AL32:AL59">IF(AN32=21,I32,0)</f>
        <v>0</v>
      </c>
      <c r="AN32" s="30">
        <v>21</v>
      </c>
      <c r="AO32" s="30">
        <f>H32*0</f>
        <v>0</v>
      </c>
      <c r="AP32" s="30">
        <f>H32*(1-0)</f>
        <v>0</v>
      </c>
      <c r="AQ32" s="33" t="s">
        <v>53</v>
      </c>
      <c r="AV32" s="30">
        <f aca="true" t="shared" si="13" ref="AV32:AV59">AW32+AX32</f>
        <v>0</v>
      </c>
      <c r="AW32" s="30">
        <f aca="true" t="shared" si="14" ref="AW32:AW59">G32*AO32</f>
        <v>0</v>
      </c>
      <c r="AX32" s="30">
        <f aca="true" t="shared" si="15" ref="AX32:AX59">G32*AP32</f>
        <v>0</v>
      </c>
      <c r="AY32" s="33" t="s">
        <v>114</v>
      </c>
      <c r="AZ32" s="33" t="s">
        <v>58</v>
      </c>
      <c r="BA32" s="10" t="s">
        <v>59</v>
      </c>
      <c r="BC32" s="30">
        <f aca="true" t="shared" si="16" ref="BC32:BC59">AW32+AX32</f>
        <v>0</v>
      </c>
      <c r="BD32" s="30">
        <f aca="true" t="shared" si="17" ref="BD32:BD59">H32/(100-BE32)*100</f>
        <v>0</v>
      </c>
      <c r="BE32" s="30">
        <v>0</v>
      </c>
      <c r="BF32" s="30">
        <f aca="true" t="shared" si="18" ref="BF32:BF59">K32</f>
        <v>0</v>
      </c>
      <c r="BH32" s="30">
        <f aca="true" t="shared" si="19" ref="BH32:BH59">G32*AO32</f>
        <v>0</v>
      </c>
      <c r="BI32" s="30">
        <f aca="true" t="shared" si="20" ref="BI32:BI59">G32*AP32</f>
        <v>0</v>
      </c>
      <c r="BJ32" s="30">
        <f aca="true" t="shared" si="21" ref="BJ32:BJ59">G32*H32</f>
        <v>0</v>
      </c>
      <c r="BK32" s="30"/>
      <c r="BL32" s="30">
        <v>18</v>
      </c>
      <c r="BW32" s="30">
        <v>21</v>
      </c>
      <c r="BX32" s="4" t="s">
        <v>113</v>
      </c>
    </row>
    <row r="33" spans="1:76" ht="15">
      <c r="A33" s="2" t="s">
        <v>86</v>
      </c>
      <c r="B33" s="3" t="s">
        <v>49</v>
      </c>
      <c r="C33" s="3" t="s">
        <v>115</v>
      </c>
      <c r="D33" s="116" t="s">
        <v>116</v>
      </c>
      <c r="E33" s="111"/>
      <c r="F33" s="3" t="s">
        <v>56</v>
      </c>
      <c r="G33" s="30">
        <v>208.86</v>
      </c>
      <c r="H33" s="31">
        <v>0</v>
      </c>
      <c r="I33" s="30">
        <f t="shared" si="0"/>
        <v>0</v>
      </c>
      <c r="J33" s="30">
        <v>0</v>
      </c>
      <c r="K33" s="32">
        <f t="shared" si="1"/>
        <v>0</v>
      </c>
      <c r="Z33" s="30">
        <f t="shared" si="2"/>
        <v>0</v>
      </c>
      <c r="AB33" s="30">
        <f t="shared" si="3"/>
        <v>0</v>
      </c>
      <c r="AC33" s="30">
        <f t="shared" si="4"/>
        <v>0</v>
      </c>
      <c r="AD33" s="30">
        <f t="shared" si="5"/>
        <v>0</v>
      </c>
      <c r="AE33" s="30">
        <f t="shared" si="6"/>
        <v>0</v>
      </c>
      <c r="AF33" s="30">
        <f t="shared" si="7"/>
        <v>0</v>
      </c>
      <c r="AG33" s="30">
        <f t="shared" si="8"/>
        <v>0</v>
      </c>
      <c r="AH33" s="30">
        <f t="shared" si="9"/>
        <v>0</v>
      </c>
      <c r="AI33" s="10" t="s">
        <v>49</v>
      </c>
      <c r="AJ33" s="30">
        <f t="shared" si="10"/>
        <v>0</v>
      </c>
      <c r="AK33" s="30">
        <f t="shared" si="11"/>
        <v>0</v>
      </c>
      <c r="AL33" s="30">
        <f t="shared" si="12"/>
        <v>0</v>
      </c>
      <c r="AN33" s="30">
        <v>21</v>
      </c>
      <c r="AO33" s="30">
        <f>H33*0</f>
        <v>0</v>
      </c>
      <c r="AP33" s="30">
        <f>H33*(1-0)</f>
        <v>0</v>
      </c>
      <c r="AQ33" s="33" t="s">
        <v>53</v>
      </c>
      <c r="AV33" s="30">
        <f t="shared" si="13"/>
        <v>0</v>
      </c>
      <c r="AW33" s="30">
        <f t="shared" si="14"/>
        <v>0</v>
      </c>
      <c r="AX33" s="30">
        <f t="shared" si="15"/>
        <v>0</v>
      </c>
      <c r="AY33" s="33" t="s">
        <v>114</v>
      </c>
      <c r="AZ33" s="33" t="s">
        <v>58</v>
      </c>
      <c r="BA33" s="10" t="s">
        <v>59</v>
      </c>
      <c r="BC33" s="30">
        <f t="shared" si="16"/>
        <v>0</v>
      </c>
      <c r="BD33" s="30">
        <f t="shared" si="17"/>
        <v>0</v>
      </c>
      <c r="BE33" s="30">
        <v>0</v>
      </c>
      <c r="BF33" s="30">
        <f t="shared" si="18"/>
        <v>0</v>
      </c>
      <c r="BH33" s="30">
        <f t="shared" si="19"/>
        <v>0</v>
      </c>
      <c r="BI33" s="30">
        <f t="shared" si="20"/>
        <v>0</v>
      </c>
      <c r="BJ33" s="30">
        <f t="shared" si="21"/>
        <v>0</v>
      </c>
      <c r="BK33" s="30"/>
      <c r="BL33" s="30">
        <v>18</v>
      </c>
      <c r="BW33" s="30">
        <v>21</v>
      </c>
      <c r="BX33" s="4" t="s">
        <v>116</v>
      </c>
    </row>
    <row r="34" spans="1:76" ht="15">
      <c r="A34" s="2" t="s">
        <v>103</v>
      </c>
      <c r="B34" s="3" t="s">
        <v>49</v>
      </c>
      <c r="C34" s="3" t="s">
        <v>117</v>
      </c>
      <c r="D34" s="116" t="s">
        <v>118</v>
      </c>
      <c r="E34" s="111"/>
      <c r="F34" s="3" t="s">
        <v>56</v>
      </c>
      <c r="G34" s="30">
        <v>208.86</v>
      </c>
      <c r="H34" s="31">
        <v>0</v>
      </c>
      <c r="I34" s="30">
        <f t="shared" si="0"/>
        <v>0</v>
      </c>
      <c r="J34" s="30">
        <v>0</v>
      </c>
      <c r="K34" s="32">
        <f t="shared" si="1"/>
        <v>0</v>
      </c>
      <c r="Z34" s="30">
        <f t="shared" si="2"/>
        <v>0</v>
      </c>
      <c r="AB34" s="30">
        <f t="shared" si="3"/>
        <v>0</v>
      </c>
      <c r="AC34" s="30">
        <f t="shared" si="4"/>
        <v>0</v>
      </c>
      <c r="AD34" s="30">
        <f t="shared" si="5"/>
        <v>0</v>
      </c>
      <c r="AE34" s="30">
        <f t="shared" si="6"/>
        <v>0</v>
      </c>
      <c r="AF34" s="30">
        <f t="shared" si="7"/>
        <v>0</v>
      </c>
      <c r="AG34" s="30">
        <f t="shared" si="8"/>
        <v>0</v>
      </c>
      <c r="AH34" s="30">
        <f t="shared" si="9"/>
        <v>0</v>
      </c>
      <c r="AI34" s="10" t="s">
        <v>49</v>
      </c>
      <c r="AJ34" s="30">
        <f t="shared" si="10"/>
        <v>0</v>
      </c>
      <c r="AK34" s="30">
        <f t="shared" si="11"/>
        <v>0</v>
      </c>
      <c r="AL34" s="30">
        <f t="shared" si="12"/>
        <v>0</v>
      </c>
      <c r="AN34" s="30">
        <v>21</v>
      </c>
      <c r="AO34" s="30">
        <f>H34*0.072542373</f>
        <v>0</v>
      </c>
      <c r="AP34" s="30">
        <f>H34*(1-0.072542373)</f>
        <v>0</v>
      </c>
      <c r="AQ34" s="33" t="s">
        <v>53</v>
      </c>
      <c r="AV34" s="30">
        <f t="shared" si="13"/>
        <v>0</v>
      </c>
      <c r="AW34" s="30">
        <f t="shared" si="14"/>
        <v>0</v>
      </c>
      <c r="AX34" s="30">
        <f t="shared" si="15"/>
        <v>0</v>
      </c>
      <c r="AY34" s="33" t="s">
        <v>114</v>
      </c>
      <c r="AZ34" s="33" t="s">
        <v>58</v>
      </c>
      <c r="BA34" s="10" t="s">
        <v>59</v>
      </c>
      <c r="BC34" s="30">
        <f t="shared" si="16"/>
        <v>0</v>
      </c>
      <c r="BD34" s="30">
        <f t="shared" si="17"/>
        <v>0</v>
      </c>
      <c r="BE34" s="30">
        <v>0</v>
      </c>
      <c r="BF34" s="30">
        <f t="shared" si="18"/>
        <v>0</v>
      </c>
      <c r="BH34" s="30">
        <f t="shared" si="19"/>
        <v>0</v>
      </c>
      <c r="BI34" s="30">
        <f t="shared" si="20"/>
        <v>0</v>
      </c>
      <c r="BJ34" s="30">
        <f t="shared" si="21"/>
        <v>0</v>
      </c>
      <c r="BK34" s="30"/>
      <c r="BL34" s="30">
        <v>18</v>
      </c>
      <c r="BW34" s="30">
        <v>21</v>
      </c>
      <c r="BX34" s="4" t="s">
        <v>118</v>
      </c>
    </row>
    <row r="35" spans="1:76" ht="15">
      <c r="A35" s="2" t="s">
        <v>109</v>
      </c>
      <c r="B35" s="3" t="s">
        <v>49</v>
      </c>
      <c r="C35" s="3" t="s">
        <v>119</v>
      </c>
      <c r="D35" s="116" t="s">
        <v>120</v>
      </c>
      <c r="E35" s="111"/>
      <c r="F35" s="3" t="s">
        <v>56</v>
      </c>
      <c r="G35" s="30">
        <v>208.86</v>
      </c>
      <c r="H35" s="31">
        <v>0</v>
      </c>
      <c r="I35" s="30">
        <f t="shared" si="0"/>
        <v>0</v>
      </c>
      <c r="J35" s="30">
        <v>0</v>
      </c>
      <c r="K35" s="32">
        <f t="shared" si="1"/>
        <v>0</v>
      </c>
      <c r="Z35" s="30">
        <f t="shared" si="2"/>
        <v>0</v>
      </c>
      <c r="AB35" s="30">
        <f t="shared" si="3"/>
        <v>0</v>
      </c>
      <c r="AC35" s="30">
        <f t="shared" si="4"/>
        <v>0</v>
      </c>
      <c r="AD35" s="30">
        <f t="shared" si="5"/>
        <v>0</v>
      </c>
      <c r="AE35" s="30">
        <f t="shared" si="6"/>
        <v>0</v>
      </c>
      <c r="AF35" s="30">
        <f t="shared" si="7"/>
        <v>0</v>
      </c>
      <c r="AG35" s="30">
        <f t="shared" si="8"/>
        <v>0</v>
      </c>
      <c r="AH35" s="30">
        <f t="shared" si="9"/>
        <v>0</v>
      </c>
      <c r="AI35" s="10" t="s">
        <v>49</v>
      </c>
      <c r="AJ35" s="30">
        <f t="shared" si="10"/>
        <v>0</v>
      </c>
      <c r="AK35" s="30">
        <f t="shared" si="11"/>
        <v>0</v>
      </c>
      <c r="AL35" s="30">
        <f t="shared" si="12"/>
        <v>0</v>
      </c>
      <c r="AN35" s="30">
        <v>21</v>
      </c>
      <c r="AO35" s="30">
        <f>H35*0.007692322</f>
        <v>0</v>
      </c>
      <c r="AP35" s="30">
        <f>H35*(1-0.007692322)</f>
        <v>0</v>
      </c>
      <c r="AQ35" s="33" t="s">
        <v>53</v>
      </c>
      <c r="AV35" s="30">
        <f t="shared" si="13"/>
        <v>0</v>
      </c>
      <c r="AW35" s="30">
        <f t="shared" si="14"/>
        <v>0</v>
      </c>
      <c r="AX35" s="30">
        <f t="shared" si="15"/>
        <v>0</v>
      </c>
      <c r="AY35" s="33" t="s">
        <v>114</v>
      </c>
      <c r="AZ35" s="33" t="s">
        <v>58</v>
      </c>
      <c r="BA35" s="10" t="s">
        <v>59</v>
      </c>
      <c r="BC35" s="30">
        <f t="shared" si="16"/>
        <v>0</v>
      </c>
      <c r="BD35" s="30">
        <f t="shared" si="17"/>
        <v>0</v>
      </c>
      <c r="BE35" s="30">
        <v>0</v>
      </c>
      <c r="BF35" s="30">
        <f t="shared" si="18"/>
        <v>0</v>
      </c>
      <c r="BH35" s="30">
        <f t="shared" si="19"/>
        <v>0</v>
      </c>
      <c r="BI35" s="30">
        <f t="shared" si="20"/>
        <v>0</v>
      </c>
      <c r="BJ35" s="30">
        <f t="shared" si="21"/>
        <v>0</v>
      </c>
      <c r="BK35" s="30"/>
      <c r="BL35" s="30">
        <v>18</v>
      </c>
      <c r="BW35" s="30">
        <v>21</v>
      </c>
      <c r="BX35" s="4" t="s">
        <v>120</v>
      </c>
    </row>
    <row r="36" spans="1:76" ht="15">
      <c r="A36" s="2" t="s">
        <v>121</v>
      </c>
      <c r="B36" s="3" t="s">
        <v>49</v>
      </c>
      <c r="C36" s="3" t="s">
        <v>122</v>
      </c>
      <c r="D36" s="116" t="s">
        <v>123</v>
      </c>
      <c r="E36" s="111"/>
      <c r="F36" s="3" t="s">
        <v>56</v>
      </c>
      <c r="G36" s="30">
        <v>208.86</v>
      </c>
      <c r="H36" s="31">
        <v>0</v>
      </c>
      <c r="I36" s="30">
        <f t="shared" si="0"/>
        <v>0</v>
      </c>
      <c r="J36" s="30">
        <v>0</v>
      </c>
      <c r="K36" s="32">
        <f t="shared" si="1"/>
        <v>0</v>
      </c>
      <c r="Z36" s="30">
        <f t="shared" si="2"/>
        <v>0</v>
      </c>
      <c r="AB36" s="30">
        <f t="shared" si="3"/>
        <v>0</v>
      </c>
      <c r="AC36" s="30">
        <f t="shared" si="4"/>
        <v>0</v>
      </c>
      <c r="AD36" s="30">
        <f t="shared" si="5"/>
        <v>0</v>
      </c>
      <c r="AE36" s="30">
        <f t="shared" si="6"/>
        <v>0</v>
      </c>
      <c r="AF36" s="30">
        <f t="shared" si="7"/>
        <v>0</v>
      </c>
      <c r="AG36" s="30">
        <f t="shared" si="8"/>
        <v>0</v>
      </c>
      <c r="AH36" s="30">
        <f t="shared" si="9"/>
        <v>0</v>
      </c>
      <c r="AI36" s="10" t="s">
        <v>49</v>
      </c>
      <c r="AJ36" s="30">
        <f t="shared" si="10"/>
        <v>0</v>
      </c>
      <c r="AK36" s="30">
        <f t="shared" si="11"/>
        <v>0</v>
      </c>
      <c r="AL36" s="30">
        <f t="shared" si="12"/>
        <v>0</v>
      </c>
      <c r="AN36" s="30">
        <v>21</v>
      </c>
      <c r="AO36" s="30">
        <f>H36*0</f>
        <v>0</v>
      </c>
      <c r="AP36" s="30">
        <f>H36*(1-0)</f>
        <v>0</v>
      </c>
      <c r="AQ36" s="33" t="s">
        <v>53</v>
      </c>
      <c r="AV36" s="30">
        <f t="shared" si="13"/>
        <v>0</v>
      </c>
      <c r="AW36" s="30">
        <f t="shared" si="14"/>
        <v>0</v>
      </c>
      <c r="AX36" s="30">
        <f t="shared" si="15"/>
        <v>0</v>
      </c>
      <c r="AY36" s="33" t="s">
        <v>114</v>
      </c>
      <c r="AZ36" s="33" t="s">
        <v>58</v>
      </c>
      <c r="BA36" s="10" t="s">
        <v>59</v>
      </c>
      <c r="BC36" s="30">
        <f t="shared" si="16"/>
        <v>0</v>
      </c>
      <c r="BD36" s="30">
        <f t="shared" si="17"/>
        <v>0</v>
      </c>
      <c r="BE36" s="30">
        <v>0</v>
      </c>
      <c r="BF36" s="30">
        <f t="shared" si="18"/>
        <v>0</v>
      </c>
      <c r="BH36" s="30">
        <f t="shared" si="19"/>
        <v>0</v>
      </c>
      <c r="BI36" s="30">
        <f t="shared" si="20"/>
        <v>0</v>
      </c>
      <c r="BJ36" s="30">
        <f t="shared" si="21"/>
        <v>0</v>
      </c>
      <c r="BK36" s="30"/>
      <c r="BL36" s="30">
        <v>18</v>
      </c>
      <c r="BW36" s="30">
        <v>21</v>
      </c>
      <c r="BX36" s="4" t="s">
        <v>123</v>
      </c>
    </row>
    <row r="37" spans="1:76" ht="15">
      <c r="A37" s="2" t="s">
        <v>124</v>
      </c>
      <c r="B37" s="3" t="s">
        <v>49</v>
      </c>
      <c r="C37" s="3" t="s">
        <v>125</v>
      </c>
      <c r="D37" s="116" t="s">
        <v>126</v>
      </c>
      <c r="E37" s="111"/>
      <c r="F37" s="3" t="s">
        <v>127</v>
      </c>
      <c r="G37" s="30">
        <v>2.0886</v>
      </c>
      <c r="H37" s="31">
        <v>0</v>
      </c>
      <c r="I37" s="30">
        <f t="shared" si="0"/>
        <v>0</v>
      </c>
      <c r="J37" s="30">
        <v>0.001</v>
      </c>
      <c r="K37" s="32">
        <f t="shared" si="1"/>
        <v>0.0020886</v>
      </c>
      <c r="Z37" s="30">
        <f t="shared" si="2"/>
        <v>0</v>
      </c>
      <c r="AB37" s="30">
        <f t="shared" si="3"/>
        <v>0</v>
      </c>
      <c r="AC37" s="30">
        <f t="shared" si="4"/>
        <v>0</v>
      </c>
      <c r="AD37" s="30">
        <f t="shared" si="5"/>
        <v>0</v>
      </c>
      <c r="AE37" s="30">
        <f t="shared" si="6"/>
        <v>0</v>
      </c>
      <c r="AF37" s="30">
        <f t="shared" si="7"/>
        <v>0</v>
      </c>
      <c r="AG37" s="30">
        <f t="shared" si="8"/>
        <v>0</v>
      </c>
      <c r="AH37" s="30">
        <f t="shared" si="9"/>
        <v>0</v>
      </c>
      <c r="AI37" s="10" t="s">
        <v>49</v>
      </c>
      <c r="AJ37" s="30">
        <f t="shared" si="10"/>
        <v>0</v>
      </c>
      <c r="AK37" s="30">
        <f t="shared" si="11"/>
        <v>0</v>
      </c>
      <c r="AL37" s="30">
        <f t="shared" si="12"/>
        <v>0</v>
      </c>
      <c r="AN37" s="30">
        <v>21</v>
      </c>
      <c r="AO37" s="30">
        <f>H37*1</f>
        <v>0</v>
      </c>
      <c r="AP37" s="30">
        <f>H37*(1-1)</f>
        <v>0</v>
      </c>
      <c r="AQ37" s="33" t="s">
        <v>53</v>
      </c>
      <c r="AV37" s="30">
        <f t="shared" si="13"/>
        <v>0</v>
      </c>
      <c r="AW37" s="30">
        <f t="shared" si="14"/>
        <v>0</v>
      </c>
      <c r="AX37" s="30">
        <f t="shared" si="15"/>
        <v>0</v>
      </c>
      <c r="AY37" s="33" t="s">
        <v>114</v>
      </c>
      <c r="AZ37" s="33" t="s">
        <v>58</v>
      </c>
      <c r="BA37" s="10" t="s">
        <v>59</v>
      </c>
      <c r="BC37" s="30">
        <f t="shared" si="16"/>
        <v>0</v>
      </c>
      <c r="BD37" s="30">
        <f t="shared" si="17"/>
        <v>0</v>
      </c>
      <c r="BE37" s="30">
        <v>0</v>
      </c>
      <c r="BF37" s="30">
        <f t="shared" si="18"/>
        <v>0.0020886</v>
      </c>
      <c r="BH37" s="30">
        <f t="shared" si="19"/>
        <v>0</v>
      </c>
      <c r="BI37" s="30">
        <f t="shared" si="20"/>
        <v>0</v>
      </c>
      <c r="BJ37" s="30">
        <f t="shared" si="21"/>
        <v>0</v>
      </c>
      <c r="BK37" s="30"/>
      <c r="BL37" s="30">
        <v>18</v>
      </c>
      <c r="BW37" s="30">
        <v>21</v>
      </c>
      <c r="BX37" s="4" t="s">
        <v>126</v>
      </c>
    </row>
    <row r="38" spans="1:76" ht="15">
      <c r="A38" s="2" t="s">
        <v>128</v>
      </c>
      <c r="B38" s="3" t="s">
        <v>49</v>
      </c>
      <c r="C38" s="3" t="s">
        <v>129</v>
      </c>
      <c r="D38" s="116" t="s">
        <v>130</v>
      </c>
      <c r="E38" s="111"/>
      <c r="F38" s="3" t="s">
        <v>131</v>
      </c>
      <c r="G38" s="30">
        <v>6.2658</v>
      </c>
      <c r="H38" s="31">
        <v>0</v>
      </c>
      <c r="I38" s="30">
        <f t="shared" si="0"/>
        <v>0</v>
      </c>
      <c r="J38" s="30">
        <v>0.001</v>
      </c>
      <c r="K38" s="32">
        <f t="shared" si="1"/>
        <v>0.006265799999999999</v>
      </c>
      <c r="Z38" s="30">
        <f t="shared" si="2"/>
        <v>0</v>
      </c>
      <c r="AB38" s="30">
        <f t="shared" si="3"/>
        <v>0</v>
      </c>
      <c r="AC38" s="30">
        <f t="shared" si="4"/>
        <v>0</v>
      </c>
      <c r="AD38" s="30">
        <f t="shared" si="5"/>
        <v>0</v>
      </c>
      <c r="AE38" s="30">
        <f t="shared" si="6"/>
        <v>0</v>
      </c>
      <c r="AF38" s="30">
        <f t="shared" si="7"/>
        <v>0</v>
      </c>
      <c r="AG38" s="30">
        <f t="shared" si="8"/>
        <v>0</v>
      </c>
      <c r="AH38" s="30">
        <f t="shared" si="9"/>
        <v>0</v>
      </c>
      <c r="AI38" s="10" t="s">
        <v>49</v>
      </c>
      <c r="AJ38" s="30">
        <f t="shared" si="10"/>
        <v>0</v>
      </c>
      <c r="AK38" s="30">
        <f t="shared" si="11"/>
        <v>0</v>
      </c>
      <c r="AL38" s="30">
        <f t="shared" si="12"/>
        <v>0</v>
      </c>
      <c r="AN38" s="30">
        <v>21</v>
      </c>
      <c r="AO38" s="30">
        <f>H38*1</f>
        <v>0</v>
      </c>
      <c r="AP38" s="30">
        <f>H38*(1-1)</f>
        <v>0</v>
      </c>
      <c r="AQ38" s="33" t="s">
        <v>53</v>
      </c>
      <c r="AV38" s="30">
        <f t="shared" si="13"/>
        <v>0</v>
      </c>
      <c r="AW38" s="30">
        <f t="shared" si="14"/>
        <v>0</v>
      </c>
      <c r="AX38" s="30">
        <f t="shared" si="15"/>
        <v>0</v>
      </c>
      <c r="AY38" s="33" t="s">
        <v>114</v>
      </c>
      <c r="AZ38" s="33" t="s">
        <v>58</v>
      </c>
      <c r="BA38" s="10" t="s">
        <v>59</v>
      </c>
      <c r="BC38" s="30">
        <f t="shared" si="16"/>
        <v>0</v>
      </c>
      <c r="BD38" s="30">
        <f t="shared" si="17"/>
        <v>0</v>
      </c>
      <c r="BE38" s="30">
        <v>0</v>
      </c>
      <c r="BF38" s="30">
        <f t="shared" si="18"/>
        <v>0.006265799999999999</v>
      </c>
      <c r="BH38" s="30">
        <f t="shared" si="19"/>
        <v>0</v>
      </c>
      <c r="BI38" s="30">
        <f t="shared" si="20"/>
        <v>0</v>
      </c>
      <c r="BJ38" s="30">
        <f t="shared" si="21"/>
        <v>0</v>
      </c>
      <c r="BK38" s="30"/>
      <c r="BL38" s="30">
        <v>18</v>
      </c>
      <c r="BW38" s="30">
        <v>21</v>
      </c>
      <c r="BX38" s="4" t="s">
        <v>130</v>
      </c>
    </row>
    <row r="39" spans="1:76" ht="15">
      <c r="A39" s="2" t="s">
        <v>132</v>
      </c>
      <c r="B39" s="3" t="s">
        <v>49</v>
      </c>
      <c r="C39" s="3" t="s">
        <v>133</v>
      </c>
      <c r="D39" s="116" t="s">
        <v>134</v>
      </c>
      <c r="E39" s="111"/>
      <c r="F39" s="3" t="s">
        <v>135</v>
      </c>
      <c r="G39" s="30">
        <v>460</v>
      </c>
      <c r="H39" s="31">
        <v>0</v>
      </c>
      <c r="I39" s="30">
        <f t="shared" si="0"/>
        <v>0</v>
      </c>
      <c r="J39" s="30">
        <v>0</v>
      </c>
      <c r="K39" s="32">
        <f t="shared" si="1"/>
        <v>0</v>
      </c>
      <c r="Z39" s="30">
        <f t="shared" si="2"/>
        <v>0</v>
      </c>
      <c r="AB39" s="30">
        <f t="shared" si="3"/>
        <v>0</v>
      </c>
      <c r="AC39" s="30">
        <f t="shared" si="4"/>
        <v>0</v>
      </c>
      <c r="AD39" s="30">
        <f t="shared" si="5"/>
        <v>0</v>
      </c>
      <c r="AE39" s="30">
        <f t="shared" si="6"/>
        <v>0</v>
      </c>
      <c r="AF39" s="30">
        <f t="shared" si="7"/>
        <v>0</v>
      </c>
      <c r="AG39" s="30">
        <f t="shared" si="8"/>
        <v>0</v>
      </c>
      <c r="AH39" s="30">
        <f t="shared" si="9"/>
        <v>0</v>
      </c>
      <c r="AI39" s="10" t="s">
        <v>49</v>
      </c>
      <c r="AJ39" s="30">
        <f t="shared" si="10"/>
        <v>0</v>
      </c>
      <c r="AK39" s="30">
        <f t="shared" si="11"/>
        <v>0</v>
      </c>
      <c r="AL39" s="30">
        <f t="shared" si="12"/>
        <v>0</v>
      </c>
      <c r="AN39" s="30">
        <v>21</v>
      </c>
      <c r="AO39" s="30">
        <f>H39*0.015471167</f>
        <v>0</v>
      </c>
      <c r="AP39" s="30">
        <f>H39*(1-0.015471167)</f>
        <v>0</v>
      </c>
      <c r="AQ39" s="33" t="s">
        <v>53</v>
      </c>
      <c r="AV39" s="30">
        <f t="shared" si="13"/>
        <v>0</v>
      </c>
      <c r="AW39" s="30">
        <f t="shared" si="14"/>
        <v>0</v>
      </c>
      <c r="AX39" s="30">
        <f t="shared" si="15"/>
        <v>0</v>
      </c>
      <c r="AY39" s="33" t="s">
        <v>114</v>
      </c>
      <c r="AZ39" s="33" t="s">
        <v>58</v>
      </c>
      <c r="BA39" s="10" t="s">
        <v>59</v>
      </c>
      <c r="BC39" s="30">
        <f t="shared" si="16"/>
        <v>0</v>
      </c>
      <c r="BD39" s="30">
        <f t="shared" si="17"/>
        <v>0</v>
      </c>
      <c r="BE39" s="30">
        <v>0</v>
      </c>
      <c r="BF39" s="30">
        <f t="shared" si="18"/>
        <v>0</v>
      </c>
      <c r="BH39" s="30">
        <f t="shared" si="19"/>
        <v>0</v>
      </c>
      <c r="BI39" s="30">
        <f t="shared" si="20"/>
        <v>0</v>
      </c>
      <c r="BJ39" s="30">
        <f t="shared" si="21"/>
        <v>0</v>
      </c>
      <c r="BK39" s="30"/>
      <c r="BL39" s="30">
        <v>18</v>
      </c>
      <c r="BW39" s="30">
        <v>21</v>
      </c>
      <c r="BX39" s="4" t="s">
        <v>134</v>
      </c>
    </row>
    <row r="40" spans="1:76" ht="15">
      <c r="A40" s="2" t="s">
        <v>136</v>
      </c>
      <c r="B40" s="3" t="s">
        <v>49</v>
      </c>
      <c r="C40" s="3" t="s">
        <v>137</v>
      </c>
      <c r="D40" s="116" t="s">
        <v>138</v>
      </c>
      <c r="E40" s="111"/>
      <c r="F40" s="3" t="s">
        <v>56</v>
      </c>
      <c r="G40" s="30">
        <v>40</v>
      </c>
      <c r="H40" s="31">
        <v>0</v>
      </c>
      <c r="I40" s="30">
        <f t="shared" si="0"/>
        <v>0</v>
      </c>
      <c r="J40" s="30">
        <v>0</v>
      </c>
      <c r="K40" s="32">
        <f t="shared" si="1"/>
        <v>0</v>
      </c>
      <c r="Z40" s="30">
        <f t="shared" si="2"/>
        <v>0</v>
      </c>
      <c r="AB40" s="30">
        <f t="shared" si="3"/>
        <v>0</v>
      </c>
      <c r="AC40" s="30">
        <f t="shared" si="4"/>
        <v>0</v>
      </c>
      <c r="AD40" s="30">
        <f t="shared" si="5"/>
        <v>0</v>
      </c>
      <c r="AE40" s="30">
        <f t="shared" si="6"/>
        <v>0</v>
      </c>
      <c r="AF40" s="30">
        <f t="shared" si="7"/>
        <v>0</v>
      </c>
      <c r="AG40" s="30">
        <f t="shared" si="8"/>
        <v>0</v>
      </c>
      <c r="AH40" s="30">
        <f t="shared" si="9"/>
        <v>0</v>
      </c>
      <c r="AI40" s="10" t="s">
        <v>49</v>
      </c>
      <c r="AJ40" s="30">
        <f t="shared" si="10"/>
        <v>0</v>
      </c>
      <c r="AK40" s="30">
        <f t="shared" si="11"/>
        <v>0</v>
      </c>
      <c r="AL40" s="30">
        <f t="shared" si="12"/>
        <v>0</v>
      </c>
      <c r="AN40" s="30">
        <v>21</v>
      </c>
      <c r="AO40" s="30">
        <f aca="true" t="shared" si="22" ref="AO40:AO53">H40*0</f>
        <v>0</v>
      </c>
      <c r="AP40" s="30">
        <f aca="true" t="shared" si="23" ref="AP40:AP53">H40*(1-0)</f>
        <v>0</v>
      </c>
      <c r="AQ40" s="33" t="s">
        <v>53</v>
      </c>
      <c r="AV40" s="30">
        <f t="shared" si="13"/>
        <v>0</v>
      </c>
      <c r="AW40" s="30">
        <f t="shared" si="14"/>
        <v>0</v>
      </c>
      <c r="AX40" s="30">
        <f t="shared" si="15"/>
        <v>0</v>
      </c>
      <c r="AY40" s="33" t="s">
        <v>114</v>
      </c>
      <c r="AZ40" s="33" t="s">
        <v>58</v>
      </c>
      <c r="BA40" s="10" t="s">
        <v>59</v>
      </c>
      <c r="BC40" s="30">
        <f t="shared" si="16"/>
        <v>0</v>
      </c>
      <c r="BD40" s="30">
        <f t="shared" si="17"/>
        <v>0</v>
      </c>
      <c r="BE40" s="30">
        <v>0</v>
      </c>
      <c r="BF40" s="30">
        <f t="shared" si="18"/>
        <v>0</v>
      </c>
      <c r="BH40" s="30">
        <f t="shared" si="19"/>
        <v>0</v>
      </c>
      <c r="BI40" s="30">
        <f t="shared" si="20"/>
        <v>0</v>
      </c>
      <c r="BJ40" s="30">
        <f t="shared" si="21"/>
        <v>0</v>
      </c>
      <c r="BK40" s="30"/>
      <c r="BL40" s="30">
        <v>18</v>
      </c>
      <c r="BW40" s="30">
        <v>21</v>
      </c>
      <c r="BX40" s="4" t="s">
        <v>138</v>
      </c>
    </row>
    <row r="41" spans="1:76" ht="15">
      <c r="A41" s="2" t="s">
        <v>139</v>
      </c>
      <c r="B41" s="3" t="s">
        <v>49</v>
      </c>
      <c r="C41" s="3" t="s">
        <v>140</v>
      </c>
      <c r="D41" s="116" t="s">
        <v>141</v>
      </c>
      <c r="E41" s="111"/>
      <c r="F41" s="3" t="s">
        <v>135</v>
      </c>
      <c r="G41" s="30">
        <v>460</v>
      </c>
      <c r="H41" s="31">
        <v>0</v>
      </c>
      <c r="I41" s="30">
        <f t="shared" si="0"/>
        <v>0</v>
      </c>
      <c r="J41" s="30">
        <v>0</v>
      </c>
      <c r="K41" s="32">
        <f t="shared" si="1"/>
        <v>0</v>
      </c>
      <c r="Z41" s="30">
        <f t="shared" si="2"/>
        <v>0</v>
      </c>
      <c r="AB41" s="30">
        <f t="shared" si="3"/>
        <v>0</v>
      </c>
      <c r="AC41" s="30">
        <f t="shared" si="4"/>
        <v>0</v>
      </c>
      <c r="AD41" s="30">
        <f t="shared" si="5"/>
        <v>0</v>
      </c>
      <c r="AE41" s="30">
        <f t="shared" si="6"/>
        <v>0</v>
      </c>
      <c r="AF41" s="30">
        <f t="shared" si="7"/>
        <v>0</v>
      </c>
      <c r="AG41" s="30">
        <f t="shared" si="8"/>
        <v>0</v>
      </c>
      <c r="AH41" s="30">
        <f t="shared" si="9"/>
        <v>0</v>
      </c>
      <c r="AI41" s="10" t="s">
        <v>49</v>
      </c>
      <c r="AJ41" s="30">
        <f t="shared" si="10"/>
        <v>0</v>
      </c>
      <c r="AK41" s="30">
        <f t="shared" si="11"/>
        <v>0</v>
      </c>
      <c r="AL41" s="30">
        <f t="shared" si="12"/>
        <v>0</v>
      </c>
      <c r="AN41" s="30">
        <v>21</v>
      </c>
      <c r="AO41" s="30">
        <f t="shared" si="22"/>
        <v>0</v>
      </c>
      <c r="AP41" s="30">
        <f t="shared" si="23"/>
        <v>0</v>
      </c>
      <c r="AQ41" s="33" t="s">
        <v>53</v>
      </c>
      <c r="AV41" s="30">
        <f t="shared" si="13"/>
        <v>0</v>
      </c>
      <c r="AW41" s="30">
        <f t="shared" si="14"/>
        <v>0</v>
      </c>
      <c r="AX41" s="30">
        <f t="shared" si="15"/>
        <v>0</v>
      </c>
      <c r="AY41" s="33" t="s">
        <v>114</v>
      </c>
      <c r="AZ41" s="33" t="s">
        <v>58</v>
      </c>
      <c r="BA41" s="10" t="s">
        <v>59</v>
      </c>
      <c r="BC41" s="30">
        <f t="shared" si="16"/>
        <v>0</v>
      </c>
      <c r="BD41" s="30">
        <f t="shared" si="17"/>
        <v>0</v>
      </c>
      <c r="BE41" s="30">
        <v>0</v>
      </c>
      <c r="BF41" s="30">
        <f t="shared" si="18"/>
        <v>0</v>
      </c>
      <c r="BH41" s="30">
        <f t="shared" si="19"/>
        <v>0</v>
      </c>
      <c r="BI41" s="30">
        <f t="shared" si="20"/>
        <v>0</v>
      </c>
      <c r="BJ41" s="30">
        <f t="shared" si="21"/>
        <v>0</v>
      </c>
      <c r="BK41" s="30"/>
      <c r="BL41" s="30">
        <v>18</v>
      </c>
      <c r="BW41" s="30">
        <v>21</v>
      </c>
      <c r="BX41" s="4" t="s">
        <v>141</v>
      </c>
    </row>
    <row r="42" spans="1:76" ht="15">
      <c r="A42" s="2" t="s">
        <v>142</v>
      </c>
      <c r="B42" s="3" t="s">
        <v>49</v>
      </c>
      <c r="C42" s="3" t="s">
        <v>143</v>
      </c>
      <c r="D42" s="116" t="s">
        <v>144</v>
      </c>
      <c r="E42" s="111"/>
      <c r="F42" s="3" t="s">
        <v>145</v>
      </c>
      <c r="G42" s="30">
        <v>30</v>
      </c>
      <c r="H42" s="31">
        <v>0</v>
      </c>
      <c r="I42" s="30">
        <f t="shared" si="0"/>
        <v>0</v>
      </c>
      <c r="J42" s="30">
        <v>0</v>
      </c>
      <c r="K42" s="32">
        <f t="shared" si="1"/>
        <v>0</v>
      </c>
      <c r="Z42" s="30">
        <f t="shared" si="2"/>
        <v>0</v>
      </c>
      <c r="AB42" s="30">
        <f t="shared" si="3"/>
        <v>0</v>
      </c>
      <c r="AC42" s="30">
        <f t="shared" si="4"/>
        <v>0</v>
      </c>
      <c r="AD42" s="30">
        <f t="shared" si="5"/>
        <v>0</v>
      </c>
      <c r="AE42" s="30">
        <f t="shared" si="6"/>
        <v>0</v>
      </c>
      <c r="AF42" s="30">
        <f t="shared" si="7"/>
        <v>0</v>
      </c>
      <c r="AG42" s="30">
        <f t="shared" si="8"/>
        <v>0</v>
      </c>
      <c r="AH42" s="30">
        <f t="shared" si="9"/>
        <v>0</v>
      </c>
      <c r="AI42" s="10" t="s">
        <v>49</v>
      </c>
      <c r="AJ42" s="30">
        <f t="shared" si="10"/>
        <v>0</v>
      </c>
      <c r="AK42" s="30">
        <f t="shared" si="11"/>
        <v>0</v>
      </c>
      <c r="AL42" s="30">
        <f t="shared" si="12"/>
        <v>0</v>
      </c>
      <c r="AN42" s="30">
        <v>21</v>
      </c>
      <c r="AO42" s="30">
        <f t="shared" si="22"/>
        <v>0</v>
      </c>
      <c r="AP42" s="30">
        <f t="shared" si="23"/>
        <v>0</v>
      </c>
      <c r="AQ42" s="33" t="s">
        <v>53</v>
      </c>
      <c r="AV42" s="30">
        <f t="shared" si="13"/>
        <v>0</v>
      </c>
      <c r="AW42" s="30">
        <f t="shared" si="14"/>
        <v>0</v>
      </c>
      <c r="AX42" s="30">
        <f t="shared" si="15"/>
        <v>0</v>
      </c>
      <c r="AY42" s="33" t="s">
        <v>114</v>
      </c>
      <c r="AZ42" s="33" t="s">
        <v>58</v>
      </c>
      <c r="BA42" s="10" t="s">
        <v>59</v>
      </c>
      <c r="BC42" s="30">
        <f t="shared" si="16"/>
        <v>0</v>
      </c>
      <c r="BD42" s="30">
        <f t="shared" si="17"/>
        <v>0</v>
      </c>
      <c r="BE42" s="30">
        <v>0</v>
      </c>
      <c r="BF42" s="30">
        <f t="shared" si="18"/>
        <v>0</v>
      </c>
      <c r="BH42" s="30">
        <f t="shared" si="19"/>
        <v>0</v>
      </c>
      <c r="BI42" s="30">
        <f t="shared" si="20"/>
        <v>0</v>
      </c>
      <c r="BJ42" s="30">
        <f t="shared" si="21"/>
        <v>0</v>
      </c>
      <c r="BK42" s="30"/>
      <c r="BL42" s="30">
        <v>18</v>
      </c>
      <c r="BW42" s="30">
        <v>21</v>
      </c>
      <c r="BX42" s="4" t="s">
        <v>144</v>
      </c>
    </row>
    <row r="43" spans="1:76" ht="15">
      <c r="A43" s="2" t="s">
        <v>146</v>
      </c>
      <c r="B43" s="3" t="s">
        <v>49</v>
      </c>
      <c r="C43" s="3" t="s">
        <v>147</v>
      </c>
      <c r="D43" s="116" t="s">
        <v>148</v>
      </c>
      <c r="E43" s="111"/>
      <c r="F43" s="3" t="s">
        <v>145</v>
      </c>
      <c r="G43" s="30">
        <v>10</v>
      </c>
      <c r="H43" s="31">
        <v>0</v>
      </c>
      <c r="I43" s="30">
        <f t="shared" si="0"/>
        <v>0</v>
      </c>
      <c r="J43" s="30">
        <v>0</v>
      </c>
      <c r="K43" s="32">
        <f t="shared" si="1"/>
        <v>0</v>
      </c>
      <c r="Z43" s="30">
        <f t="shared" si="2"/>
        <v>0</v>
      </c>
      <c r="AB43" s="30">
        <f t="shared" si="3"/>
        <v>0</v>
      </c>
      <c r="AC43" s="30">
        <f t="shared" si="4"/>
        <v>0</v>
      </c>
      <c r="AD43" s="30">
        <f t="shared" si="5"/>
        <v>0</v>
      </c>
      <c r="AE43" s="30">
        <f t="shared" si="6"/>
        <v>0</v>
      </c>
      <c r="AF43" s="30">
        <f t="shared" si="7"/>
        <v>0</v>
      </c>
      <c r="AG43" s="30">
        <f t="shared" si="8"/>
        <v>0</v>
      </c>
      <c r="AH43" s="30">
        <f t="shared" si="9"/>
        <v>0</v>
      </c>
      <c r="AI43" s="10" t="s">
        <v>49</v>
      </c>
      <c r="AJ43" s="30">
        <f t="shared" si="10"/>
        <v>0</v>
      </c>
      <c r="AK43" s="30">
        <f t="shared" si="11"/>
        <v>0</v>
      </c>
      <c r="AL43" s="30">
        <f t="shared" si="12"/>
        <v>0</v>
      </c>
      <c r="AN43" s="30">
        <v>21</v>
      </c>
      <c r="AO43" s="30">
        <f t="shared" si="22"/>
        <v>0</v>
      </c>
      <c r="AP43" s="30">
        <f t="shared" si="23"/>
        <v>0</v>
      </c>
      <c r="AQ43" s="33" t="s">
        <v>53</v>
      </c>
      <c r="AV43" s="30">
        <f t="shared" si="13"/>
        <v>0</v>
      </c>
      <c r="AW43" s="30">
        <f t="shared" si="14"/>
        <v>0</v>
      </c>
      <c r="AX43" s="30">
        <f t="shared" si="15"/>
        <v>0</v>
      </c>
      <c r="AY43" s="33" t="s">
        <v>114</v>
      </c>
      <c r="AZ43" s="33" t="s">
        <v>58</v>
      </c>
      <c r="BA43" s="10" t="s">
        <v>59</v>
      </c>
      <c r="BC43" s="30">
        <f t="shared" si="16"/>
        <v>0</v>
      </c>
      <c r="BD43" s="30">
        <f t="shared" si="17"/>
        <v>0</v>
      </c>
      <c r="BE43" s="30">
        <v>0</v>
      </c>
      <c r="BF43" s="30">
        <f t="shared" si="18"/>
        <v>0</v>
      </c>
      <c r="BH43" s="30">
        <f t="shared" si="19"/>
        <v>0</v>
      </c>
      <c r="BI43" s="30">
        <f t="shared" si="20"/>
        <v>0</v>
      </c>
      <c r="BJ43" s="30">
        <f t="shared" si="21"/>
        <v>0</v>
      </c>
      <c r="BK43" s="30"/>
      <c r="BL43" s="30">
        <v>18</v>
      </c>
      <c r="BW43" s="30">
        <v>21</v>
      </c>
      <c r="BX43" s="4" t="s">
        <v>148</v>
      </c>
    </row>
    <row r="44" spans="1:76" ht="15">
      <c r="A44" s="2" t="s">
        <v>149</v>
      </c>
      <c r="B44" s="3" t="s">
        <v>49</v>
      </c>
      <c r="C44" s="3" t="s">
        <v>150</v>
      </c>
      <c r="D44" s="116" t="s">
        <v>151</v>
      </c>
      <c r="E44" s="111"/>
      <c r="F44" s="3" t="s">
        <v>145</v>
      </c>
      <c r="G44" s="30">
        <v>30</v>
      </c>
      <c r="H44" s="31">
        <v>0</v>
      </c>
      <c r="I44" s="30">
        <f t="shared" si="0"/>
        <v>0</v>
      </c>
      <c r="J44" s="30">
        <v>0</v>
      </c>
      <c r="K44" s="32">
        <f t="shared" si="1"/>
        <v>0</v>
      </c>
      <c r="Z44" s="30">
        <f t="shared" si="2"/>
        <v>0</v>
      </c>
      <c r="AB44" s="30">
        <f t="shared" si="3"/>
        <v>0</v>
      </c>
      <c r="AC44" s="30">
        <f t="shared" si="4"/>
        <v>0</v>
      </c>
      <c r="AD44" s="30">
        <f t="shared" si="5"/>
        <v>0</v>
      </c>
      <c r="AE44" s="30">
        <f t="shared" si="6"/>
        <v>0</v>
      </c>
      <c r="AF44" s="30">
        <f t="shared" si="7"/>
        <v>0</v>
      </c>
      <c r="AG44" s="30">
        <f t="shared" si="8"/>
        <v>0</v>
      </c>
      <c r="AH44" s="30">
        <f t="shared" si="9"/>
        <v>0</v>
      </c>
      <c r="AI44" s="10" t="s">
        <v>49</v>
      </c>
      <c r="AJ44" s="30">
        <f t="shared" si="10"/>
        <v>0</v>
      </c>
      <c r="AK44" s="30">
        <f t="shared" si="11"/>
        <v>0</v>
      </c>
      <c r="AL44" s="30">
        <f t="shared" si="12"/>
        <v>0</v>
      </c>
      <c r="AN44" s="30">
        <v>21</v>
      </c>
      <c r="AO44" s="30">
        <f t="shared" si="22"/>
        <v>0</v>
      </c>
      <c r="AP44" s="30">
        <f t="shared" si="23"/>
        <v>0</v>
      </c>
      <c r="AQ44" s="33" t="s">
        <v>53</v>
      </c>
      <c r="AV44" s="30">
        <f t="shared" si="13"/>
        <v>0</v>
      </c>
      <c r="AW44" s="30">
        <f t="shared" si="14"/>
        <v>0</v>
      </c>
      <c r="AX44" s="30">
        <f t="shared" si="15"/>
        <v>0</v>
      </c>
      <c r="AY44" s="33" t="s">
        <v>114</v>
      </c>
      <c r="AZ44" s="33" t="s">
        <v>58</v>
      </c>
      <c r="BA44" s="10" t="s">
        <v>59</v>
      </c>
      <c r="BC44" s="30">
        <f t="shared" si="16"/>
        <v>0</v>
      </c>
      <c r="BD44" s="30">
        <f t="shared" si="17"/>
        <v>0</v>
      </c>
      <c r="BE44" s="30">
        <v>0</v>
      </c>
      <c r="BF44" s="30">
        <f t="shared" si="18"/>
        <v>0</v>
      </c>
      <c r="BH44" s="30">
        <f t="shared" si="19"/>
        <v>0</v>
      </c>
      <c r="BI44" s="30">
        <f t="shared" si="20"/>
        <v>0</v>
      </c>
      <c r="BJ44" s="30">
        <f t="shared" si="21"/>
        <v>0</v>
      </c>
      <c r="BK44" s="30"/>
      <c r="BL44" s="30">
        <v>18</v>
      </c>
      <c r="BW44" s="30">
        <v>21</v>
      </c>
      <c r="BX44" s="4" t="s">
        <v>151</v>
      </c>
    </row>
    <row r="45" spans="1:76" ht="15">
      <c r="A45" s="2" t="s">
        <v>152</v>
      </c>
      <c r="B45" s="3" t="s">
        <v>49</v>
      </c>
      <c r="C45" s="3" t="s">
        <v>153</v>
      </c>
      <c r="D45" s="116" t="s">
        <v>154</v>
      </c>
      <c r="E45" s="111"/>
      <c r="F45" s="3" t="s">
        <v>145</v>
      </c>
      <c r="G45" s="30">
        <v>60</v>
      </c>
      <c r="H45" s="31">
        <v>0</v>
      </c>
      <c r="I45" s="30">
        <f t="shared" si="0"/>
        <v>0</v>
      </c>
      <c r="J45" s="30">
        <v>0</v>
      </c>
      <c r="K45" s="32">
        <f t="shared" si="1"/>
        <v>0</v>
      </c>
      <c r="Z45" s="30">
        <f t="shared" si="2"/>
        <v>0</v>
      </c>
      <c r="AB45" s="30">
        <f t="shared" si="3"/>
        <v>0</v>
      </c>
      <c r="AC45" s="30">
        <f t="shared" si="4"/>
        <v>0</v>
      </c>
      <c r="AD45" s="30">
        <f t="shared" si="5"/>
        <v>0</v>
      </c>
      <c r="AE45" s="30">
        <f t="shared" si="6"/>
        <v>0</v>
      </c>
      <c r="AF45" s="30">
        <f t="shared" si="7"/>
        <v>0</v>
      </c>
      <c r="AG45" s="30">
        <f t="shared" si="8"/>
        <v>0</v>
      </c>
      <c r="AH45" s="30">
        <f t="shared" si="9"/>
        <v>0</v>
      </c>
      <c r="AI45" s="10" t="s">
        <v>49</v>
      </c>
      <c r="AJ45" s="30">
        <f t="shared" si="10"/>
        <v>0</v>
      </c>
      <c r="AK45" s="30">
        <f t="shared" si="11"/>
        <v>0</v>
      </c>
      <c r="AL45" s="30">
        <f t="shared" si="12"/>
        <v>0</v>
      </c>
      <c r="AN45" s="30">
        <v>21</v>
      </c>
      <c r="AO45" s="30">
        <f t="shared" si="22"/>
        <v>0</v>
      </c>
      <c r="AP45" s="30">
        <f t="shared" si="23"/>
        <v>0</v>
      </c>
      <c r="AQ45" s="33" t="s">
        <v>60</v>
      </c>
      <c r="AV45" s="30">
        <f t="shared" si="13"/>
        <v>0</v>
      </c>
      <c r="AW45" s="30">
        <f t="shared" si="14"/>
        <v>0</v>
      </c>
      <c r="AX45" s="30">
        <f t="shared" si="15"/>
        <v>0</v>
      </c>
      <c r="AY45" s="33" t="s">
        <v>114</v>
      </c>
      <c r="AZ45" s="33" t="s">
        <v>58</v>
      </c>
      <c r="BA45" s="10" t="s">
        <v>59</v>
      </c>
      <c r="BC45" s="30">
        <f t="shared" si="16"/>
        <v>0</v>
      </c>
      <c r="BD45" s="30">
        <f t="shared" si="17"/>
        <v>0</v>
      </c>
      <c r="BE45" s="30">
        <v>0</v>
      </c>
      <c r="BF45" s="30">
        <f t="shared" si="18"/>
        <v>0</v>
      </c>
      <c r="BH45" s="30">
        <f t="shared" si="19"/>
        <v>0</v>
      </c>
      <c r="BI45" s="30">
        <f t="shared" si="20"/>
        <v>0</v>
      </c>
      <c r="BJ45" s="30">
        <f t="shared" si="21"/>
        <v>0</v>
      </c>
      <c r="BK45" s="30"/>
      <c r="BL45" s="30">
        <v>18</v>
      </c>
      <c r="BW45" s="30">
        <v>21</v>
      </c>
      <c r="BX45" s="4" t="s">
        <v>154</v>
      </c>
    </row>
    <row r="46" spans="1:76" ht="15">
      <c r="A46" s="2" t="s">
        <v>155</v>
      </c>
      <c r="B46" s="3" t="s">
        <v>49</v>
      </c>
      <c r="C46" s="3" t="s">
        <v>156</v>
      </c>
      <c r="D46" s="116" t="s">
        <v>157</v>
      </c>
      <c r="E46" s="111"/>
      <c r="F46" s="3" t="s">
        <v>145</v>
      </c>
      <c r="G46" s="30">
        <v>50</v>
      </c>
      <c r="H46" s="31">
        <v>0</v>
      </c>
      <c r="I46" s="30">
        <f t="shared" si="0"/>
        <v>0</v>
      </c>
      <c r="J46" s="30">
        <v>0</v>
      </c>
      <c r="K46" s="32">
        <f t="shared" si="1"/>
        <v>0</v>
      </c>
      <c r="Z46" s="30">
        <f t="shared" si="2"/>
        <v>0</v>
      </c>
      <c r="AB46" s="30">
        <f t="shared" si="3"/>
        <v>0</v>
      </c>
      <c r="AC46" s="30">
        <f t="shared" si="4"/>
        <v>0</v>
      </c>
      <c r="AD46" s="30">
        <f t="shared" si="5"/>
        <v>0</v>
      </c>
      <c r="AE46" s="30">
        <f t="shared" si="6"/>
        <v>0</v>
      </c>
      <c r="AF46" s="30">
        <f t="shared" si="7"/>
        <v>0</v>
      </c>
      <c r="AG46" s="30">
        <f t="shared" si="8"/>
        <v>0</v>
      </c>
      <c r="AH46" s="30">
        <f t="shared" si="9"/>
        <v>0</v>
      </c>
      <c r="AI46" s="10" t="s">
        <v>49</v>
      </c>
      <c r="AJ46" s="30">
        <f t="shared" si="10"/>
        <v>0</v>
      </c>
      <c r="AK46" s="30">
        <f t="shared" si="11"/>
        <v>0</v>
      </c>
      <c r="AL46" s="30">
        <f t="shared" si="12"/>
        <v>0</v>
      </c>
      <c r="AN46" s="30">
        <v>21</v>
      </c>
      <c r="AO46" s="30">
        <f t="shared" si="22"/>
        <v>0</v>
      </c>
      <c r="AP46" s="30">
        <f t="shared" si="23"/>
        <v>0</v>
      </c>
      <c r="AQ46" s="33" t="s">
        <v>60</v>
      </c>
      <c r="AV46" s="30">
        <f t="shared" si="13"/>
        <v>0</v>
      </c>
      <c r="AW46" s="30">
        <f t="shared" si="14"/>
        <v>0</v>
      </c>
      <c r="AX46" s="30">
        <f t="shared" si="15"/>
        <v>0</v>
      </c>
      <c r="AY46" s="33" t="s">
        <v>114</v>
      </c>
      <c r="AZ46" s="33" t="s">
        <v>58</v>
      </c>
      <c r="BA46" s="10" t="s">
        <v>59</v>
      </c>
      <c r="BC46" s="30">
        <f t="shared" si="16"/>
        <v>0</v>
      </c>
      <c r="BD46" s="30">
        <f t="shared" si="17"/>
        <v>0</v>
      </c>
      <c r="BE46" s="30">
        <v>0</v>
      </c>
      <c r="BF46" s="30">
        <f t="shared" si="18"/>
        <v>0</v>
      </c>
      <c r="BH46" s="30">
        <f t="shared" si="19"/>
        <v>0</v>
      </c>
      <c r="BI46" s="30">
        <f t="shared" si="20"/>
        <v>0</v>
      </c>
      <c r="BJ46" s="30">
        <f t="shared" si="21"/>
        <v>0</v>
      </c>
      <c r="BK46" s="30"/>
      <c r="BL46" s="30">
        <v>18</v>
      </c>
      <c r="BW46" s="30">
        <v>21</v>
      </c>
      <c r="BX46" s="4" t="s">
        <v>157</v>
      </c>
    </row>
    <row r="47" spans="1:76" ht="15">
      <c r="A47" s="2" t="s">
        <v>158</v>
      </c>
      <c r="B47" s="3" t="s">
        <v>49</v>
      </c>
      <c r="C47" s="3" t="s">
        <v>159</v>
      </c>
      <c r="D47" s="116" t="s">
        <v>160</v>
      </c>
      <c r="E47" s="111"/>
      <c r="F47" s="3" t="s">
        <v>145</v>
      </c>
      <c r="G47" s="30">
        <v>50</v>
      </c>
      <c r="H47" s="31">
        <v>0</v>
      </c>
      <c r="I47" s="30">
        <f t="shared" si="0"/>
        <v>0</v>
      </c>
      <c r="J47" s="30">
        <v>0</v>
      </c>
      <c r="K47" s="32">
        <f t="shared" si="1"/>
        <v>0</v>
      </c>
      <c r="Z47" s="30">
        <f t="shared" si="2"/>
        <v>0</v>
      </c>
      <c r="AB47" s="30">
        <f t="shared" si="3"/>
        <v>0</v>
      </c>
      <c r="AC47" s="30">
        <f t="shared" si="4"/>
        <v>0</v>
      </c>
      <c r="AD47" s="30">
        <f t="shared" si="5"/>
        <v>0</v>
      </c>
      <c r="AE47" s="30">
        <f t="shared" si="6"/>
        <v>0</v>
      </c>
      <c r="AF47" s="30">
        <f t="shared" si="7"/>
        <v>0</v>
      </c>
      <c r="AG47" s="30">
        <f t="shared" si="8"/>
        <v>0</v>
      </c>
      <c r="AH47" s="30">
        <f t="shared" si="9"/>
        <v>0</v>
      </c>
      <c r="AI47" s="10" t="s">
        <v>49</v>
      </c>
      <c r="AJ47" s="30">
        <f t="shared" si="10"/>
        <v>0</v>
      </c>
      <c r="AK47" s="30">
        <f t="shared" si="11"/>
        <v>0</v>
      </c>
      <c r="AL47" s="30">
        <f t="shared" si="12"/>
        <v>0</v>
      </c>
      <c r="AN47" s="30">
        <v>21</v>
      </c>
      <c r="AO47" s="30">
        <f t="shared" si="22"/>
        <v>0</v>
      </c>
      <c r="AP47" s="30">
        <f t="shared" si="23"/>
        <v>0</v>
      </c>
      <c r="AQ47" s="33" t="s">
        <v>60</v>
      </c>
      <c r="AV47" s="30">
        <f t="shared" si="13"/>
        <v>0</v>
      </c>
      <c r="AW47" s="30">
        <f t="shared" si="14"/>
        <v>0</v>
      </c>
      <c r="AX47" s="30">
        <f t="shared" si="15"/>
        <v>0</v>
      </c>
      <c r="AY47" s="33" t="s">
        <v>114</v>
      </c>
      <c r="AZ47" s="33" t="s">
        <v>58</v>
      </c>
      <c r="BA47" s="10" t="s">
        <v>59</v>
      </c>
      <c r="BC47" s="30">
        <f t="shared" si="16"/>
        <v>0</v>
      </c>
      <c r="BD47" s="30">
        <f t="shared" si="17"/>
        <v>0</v>
      </c>
      <c r="BE47" s="30">
        <v>0</v>
      </c>
      <c r="BF47" s="30">
        <f t="shared" si="18"/>
        <v>0</v>
      </c>
      <c r="BH47" s="30">
        <f t="shared" si="19"/>
        <v>0</v>
      </c>
      <c r="BI47" s="30">
        <f t="shared" si="20"/>
        <v>0</v>
      </c>
      <c r="BJ47" s="30">
        <f t="shared" si="21"/>
        <v>0</v>
      </c>
      <c r="BK47" s="30"/>
      <c r="BL47" s="30">
        <v>18</v>
      </c>
      <c r="BW47" s="30">
        <v>21</v>
      </c>
      <c r="BX47" s="4" t="s">
        <v>160</v>
      </c>
    </row>
    <row r="48" spans="1:76" ht="15">
      <c r="A48" s="2" t="s">
        <v>161</v>
      </c>
      <c r="B48" s="3" t="s">
        <v>49</v>
      </c>
      <c r="C48" s="3" t="s">
        <v>162</v>
      </c>
      <c r="D48" s="116" t="s">
        <v>163</v>
      </c>
      <c r="E48" s="111"/>
      <c r="F48" s="3" t="s">
        <v>145</v>
      </c>
      <c r="G48" s="30">
        <v>50</v>
      </c>
      <c r="H48" s="31">
        <v>0</v>
      </c>
      <c r="I48" s="30">
        <f t="shared" si="0"/>
        <v>0</v>
      </c>
      <c r="J48" s="30">
        <v>0</v>
      </c>
      <c r="K48" s="32">
        <f t="shared" si="1"/>
        <v>0</v>
      </c>
      <c r="Z48" s="30">
        <f t="shared" si="2"/>
        <v>0</v>
      </c>
      <c r="AB48" s="30">
        <f t="shared" si="3"/>
        <v>0</v>
      </c>
      <c r="AC48" s="30">
        <f t="shared" si="4"/>
        <v>0</v>
      </c>
      <c r="AD48" s="30">
        <f t="shared" si="5"/>
        <v>0</v>
      </c>
      <c r="AE48" s="30">
        <f t="shared" si="6"/>
        <v>0</v>
      </c>
      <c r="AF48" s="30">
        <f t="shared" si="7"/>
        <v>0</v>
      </c>
      <c r="AG48" s="30">
        <f t="shared" si="8"/>
        <v>0</v>
      </c>
      <c r="AH48" s="30">
        <f t="shared" si="9"/>
        <v>0</v>
      </c>
      <c r="AI48" s="10" t="s">
        <v>49</v>
      </c>
      <c r="AJ48" s="30">
        <f t="shared" si="10"/>
        <v>0</v>
      </c>
      <c r="AK48" s="30">
        <f t="shared" si="11"/>
        <v>0</v>
      </c>
      <c r="AL48" s="30">
        <f t="shared" si="12"/>
        <v>0</v>
      </c>
      <c r="AN48" s="30">
        <v>21</v>
      </c>
      <c r="AO48" s="30">
        <f t="shared" si="22"/>
        <v>0</v>
      </c>
      <c r="AP48" s="30">
        <f t="shared" si="23"/>
        <v>0</v>
      </c>
      <c r="AQ48" s="33" t="s">
        <v>60</v>
      </c>
      <c r="AV48" s="30">
        <f t="shared" si="13"/>
        <v>0</v>
      </c>
      <c r="AW48" s="30">
        <f t="shared" si="14"/>
        <v>0</v>
      </c>
      <c r="AX48" s="30">
        <f t="shared" si="15"/>
        <v>0</v>
      </c>
      <c r="AY48" s="33" t="s">
        <v>114</v>
      </c>
      <c r="AZ48" s="33" t="s">
        <v>58</v>
      </c>
      <c r="BA48" s="10" t="s">
        <v>59</v>
      </c>
      <c r="BC48" s="30">
        <f t="shared" si="16"/>
        <v>0</v>
      </c>
      <c r="BD48" s="30">
        <f t="shared" si="17"/>
        <v>0</v>
      </c>
      <c r="BE48" s="30">
        <v>0</v>
      </c>
      <c r="BF48" s="30">
        <f t="shared" si="18"/>
        <v>0</v>
      </c>
      <c r="BH48" s="30">
        <f t="shared" si="19"/>
        <v>0</v>
      </c>
      <c r="BI48" s="30">
        <f t="shared" si="20"/>
        <v>0</v>
      </c>
      <c r="BJ48" s="30">
        <f t="shared" si="21"/>
        <v>0</v>
      </c>
      <c r="BK48" s="30"/>
      <c r="BL48" s="30">
        <v>18</v>
      </c>
      <c r="BW48" s="30">
        <v>21</v>
      </c>
      <c r="BX48" s="4" t="s">
        <v>163</v>
      </c>
    </row>
    <row r="49" spans="1:76" ht="15">
      <c r="A49" s="2" t="s">
        <v>164</v>
      </c>
      <c r="B49" s="3" t="s">
        <v>49</v>
      </c>
      <c r="C49" s="3" t="s">
        <v>165</v>
      </c>
      <c r="D49" s="116" t="s">
        <v>166</v>
      </c>
      <c r="E49" s="111"/>
      <c r="F49" s="3" t="s">
        <v>145</v>
      </c>
      <c r="G49" s="30">
        <v>50</v>
      </c>
      <c r="H49" s="31">
        <v>0</v>
      </c>
      <c r="I49" s="30">
        <f t="shared" si="0"/>
        <v>0</v>
      </c>
      <c r="J49" s="30">
        <v>0</v>
      </c>
      <c r="K49" s="32">
        <f t="shared" si="1"/>
        <v>0</v>
      </c>
      <c r="Z49" s="30">
        <f t="shared" si="2"/>
        <v>0</v>
      </c>
      <c r="AB49" s="30">
        <f t="shared" si="3"/>
        <v>0</v>
      </c>
      <c r="AC49" s="30">
        <f t="shared" si="4"/>
        <v>0</v>
      </c>
      <c r="AD49" s="30">
        <f t="shared" si="5"/>
        <v>0</v>
      </c>
      <c r="AE49" s="30">
        <f t="shared" si="6"/>
        <v>0</v>
      </c>
      <c r="AF49" s="30">
        <f t="shared" si="7"/>
        <v>0</v>
      </c>
      <c r="AG49" s="30">
        <f t="shared" si="8"/>
        <v>0</v>
      </c>
      <c r="AH49" s="30">
        <f t="shared" si="9"/>
        <v>0</v>
      </c>
      <c r="AI49" s="10" t="s">
        <v>49</v>
      </c>
      <c r="AJ49" s="30">
        <f t="shared" si="10"/>
        <v>0</v>
      </c>
      <c r="AK49" s="30">
        <f t="shared" si="11"/>
        <v>0</v>
      </c>
      <c r="AL49" s="30">
        <f t="shared" si="12"/>
        <v>0</v>
      </c>
      <c r="AN49" s="30">
        <v>21</v>
      </c>
      <c r="AO49" s="30">
        <f t="shared" si="22"/>
        <v>0</v>
      </c>
      <c r="AP49" s="30">
        <f t="shared" si="23"/>
        <v>0</v>
      </c>
      <c r="AQ49" s="33" t="s">
        <v>60</v>
      </c>
      <c r="AV49" s="30">
        <f t="shared" si="13"/>
        <v>0</v>
      </c>
      <c r="AW49" s="30">
        <f t="shared" si="14"/>
        <v>0</v>
      </c>
      <c r="AX49" s="30">
        <f t="shared" si="15"/>
        <v>0</v>
      </c>
      <c r="AY49" s="33" t="s">
        <v>114</v>
      </c>
      <c r="AZ49" s="33" t="s">
        <v>58</v>
      </c>
      <c r="BA49" s="10" t="s">
        <v>59</v>
      </c>
      <c r="BC49" s="30">
        <f t="shared" si="16"/>
        <v>0</v>
      </c>
      <c r="BD49" s="30">
        <f t="shared" si="17"/>
        <v>0</v>
      </c>
      <c r="BE49" s="30">
        <v>0</v>
      </c>
      <c r="BF49" s="30">
        <f t="shared" si="18"/>
        <v>0</v>
      </c>
      <c r="BH49" s="30">
        <f t="shared" si="19"/>
        <v>0</v>
      </c>
      <c r="BI49" s="30">
        <f t="shared" si="20"/>
        <v>0</v>
      </c>
      <c r="BJ49" s="30">
        <f t="shared" si="21"/>
        <v>0</v>
      </c>
      <c r="BK49" s="30"/>
      <c r="BL49" s="30">
        <v>18</v>
      </c>
      <c r="BW49" s="30">
        <v>21</v>
      </c>
      <c r="BX49" s="4" t="s">
        <v>166</v>
      </c>
    </row>
    <row r="50" spans="1:76" ht="15">
      <c r="A50" s="2" t="s">
        <v>167</v>
      </c>
      <c r="B50" s="3" t="s">
        <v>49</v>
      </c>
      <c r="C50" s="3" t="s">
        <v>168</v>
      </c>
      <c r="D50" s="116" t="s">
        <v>169</v>
      </c>
      <c r="E50" s="111"/>
      <c r="F50" s="3" t="s">
        <v>145</v>
      </c>
      <c r="G50" s="30">
        <v>50</v>
      </c>
      <c r="H50" s="31">
        <v>0</v>
      </c>
      <c r="I50" s="30">
        <f t="shared" si="0"/>
        <v>0</v>
      </c>
      <c r="J50" s="30">
        <v>0</v>
      </c>
      <c r="K50" s="32">
        <f t="shared" si="1"/>
        <v>0</v>
      </c>
      <c r="Z50" s="30">
        <f t="shared" si="2"/>
        <v>0</v>
      </c>
      <c r="AB50" s="30">
        <f t="shared" si="3"/>
        <v>0</v>
      </c>
      <c r="AC50" s="30">
        <f t="shared" si="4"/>
        <v>0</v>
      </c>
      <c r="AD50" s="30">
        <f t="shared" si="5"/>
        <v>0</v>
      </c>
      <c r="AE50" s="30">
        <f t="shared" si="6"/>
        <v>0</v>
      </c>
      <c r="AF50" s="30">
        <f t="shared" si="7"/>
        <v>0</v>
      </c>
      <c r="AG50" s="30">
        <f t="shared" si="8"/>
        <v>0</v>
      </c>
      <c r="AH50" s="30">
        <f t="shared" si="9"/>
        <v>0</v>
      </c>
      <c r="AI50" s="10" t="s">
        <v>49</v>
      </c>
      <c r="AJ50" s="30">
        <f t="shared" si="10"/>
        <v>0</v>
      </c>
      <c r="AK50" s="30">
        <f t="shared" si="11"/>
        <v>0</v>
      </c>
      <c r="AL50" s="30">
        <f t="shared" si="12"/>
        <v>0</v>
      </c>
      <c r="AN50" s="30">
        <v>21</v>
      </c>
      <c r="AO50" s="30">
        <f t="shared" si="22"/>
        <v>0</v>
      </c>
      <c r="AP50" s="30">
        <f t="shared" si="23"/>
        <v>0</v>
      </c>
      <c r="AQ50" s="33" t="s">
        <v>60</v>
      </c>
      <c r="AV50" s="30">
        <f t="shared" si="13"/>
        <v>0</v>
      </c>
      <c r="AW50" s="30">
        <f t="shared" si="14"/>
        <v>0</v>
      </c>
      <c r="AX50" s="30">
        <f t="shared" si="15"/>
        <v>0</v>
      </c>
      <c r="AY50" s="33" t="s">
        <v>114</v>
      </c>
      <c r="AZ50" s="33" t="s">
        <v>58</v>
      </c>
      <c r="BA50" s="10" t="s">
        <v>59</v>
      </c>
      <c r="BC50" s="30">
        <f t="shared" si="16"/>
        <v>0</v>
      </c>
      <c r="BD50" s="30">
        <f t="shared" si="17"/>
        <v>0</v>
      </c>
      <c r="BE50" s="30">
        <v>0</v>
      </c>
      <c r="BF50" s="30">
        <f t="shared" si="18"/>
        <v>0</v>
      </c>
      <c r="BH50" s="30">
        <f t="shared" si="19"/>
        <v>0</v>
      </c>
      <c r="BI50" s="30">
        <f t="shared" si="20"/>
        <v>0</v>
      </c>
      <c r="BJ50" s="30">
        <f t="shared" si="21"/>
        <v>0</v>
      </c>
      <c r="BK50" s="30"/>
      <c r="BL50" s="30">
        <v>18</v>
      </c>
      <c r="BW50" s="30">
        <v>21</v>
      </c>
      <c r="BX50" s="4" t="s">
        <v>169</v>
      </c>
    </row>
    <row r="51" spans="1:76" ht="15">
      <c r="A51" s="2" t="s">
        <v>170</v>
      </c>
      <c r="B51" s="3" t="s">
        <v>49</v>
      </c>
      <c r="C51" s="3" t="s">
        <v>171</v>
      </c>
      <c r="D51" s="116" t="s">
        <v>172</v>
      </c>
      <c r="E51" s="111"/>
      <c r="F51" s="3" t="s">
        <v>145</v>
      </c>
      <c r="G51" s="30">
        <v>40</v>
      </c>
      <c r="H51" s="31">
        <v>0</v>
      </c>
      <c r="I51" s="30">
        <f t="shared" si="0"/>
        <v>0</v>
      </c>
      <c r="J51" s="30">
        <v>0</v>
      </c>
      <c r="K51" s="32">
        <f t="shared" si="1"/>
        <v>0</v>
      </c>
      <c r="Z51" s="30">
        <f t="shared" si="2"/>
        <v>0</v>
      </c>
      <c r="AB51" s="30">
        <f t="shared" si="3"/>
        <v>0</v>
      </c>
      <c r="AC51" s="30">
        <f t="shared" si="4"/>
        <v>0</v>
      </c>
      <c r="AD51" s="30">
        <f t="shared" si="5"/>
        <v>0</v>
      </c>
      <c r="AE51" s="30">
        <f t="shared" si="6"/>
        <v>0</v>
      </c>
      <c r="AF51" s="30">
        <f t="shared" si="7"/>
        <v>0</v>
      </c>
      <c r="AG51" s="30">
        <f t="shared" si="8"/>
        <v>0</v>
      </c>
      <c r="AH51" s="30">
        <f t="shared" si="9"/>
        <v>0</v>
      </c>
      <c r="AI51" s="10" t="s">
        <v>49</v>
      </c>
      <c r="AJ51" s="30">
        <f t="shared" si="10"/>
        <v>0</v>
      </c>
      <c r="AK51" s="30">
        <f t="shared" si="11"/>
        <v>0</v>
      </c>
      <c r="AL51" s="30">
        <f t="shared" si="12"/>
        <v>0</v>
      </c>
      <c r="AN51" s="30">
        <v>21</v>
      </c>
      <c r="AO51" s="30">
        <f t="shared" si="22"/>
        <v>0</v>
      </c>
      <c r="AP51" s="30">
        <f t="shared" si="23"/>
        <v>0</v>
      </c>
      <c r="AQ51" s="33" t="s">
        <v>60</v>
      </c>
      <c r="AV51" s="30">
        <f t="shared" si="13"/>
        <v>0</v>
      </c>
      <c r="AW51" s="30">
        <f t="shared" si="14"/>
        <v>0</v>
      </c>
      <c r="AX51" s="30">
        <f t="shared" si="15"/>
        <v>0</v>
      </c>
      <c r="AY51" s="33" t="s">
        <v>114</v>
      </c>
      <c r="AZ51" s="33" t="s">
        <v>58</v>
      </c>
      <c r="BA51" s="10" t="s">
        <v>59</v>
      </c>
      <c r="BC51" s="30">
        <f t="shared" si="16"/>
        <v>0</v>
      </c>
      <c r="BD51" s="30">
        <f t="shared" si="17"/>
        <v>0</v>
      </c>
      <c r="BE51" s="30">
        <v>0</v>
      </c>
      <c r="BF51" s="30">
        <f t="shared" si="18"/>
        <v>0</v>
      </c>
      <c r="BH51" s="30">
        <f t="shared" si="19"/>
        <v>0</v>
      </c>
      <c r="BI51" s="30">
        <f t="shared" si="20"/>
        <v>0</v>
      </c>
      <c r="BJ51" s="30">
        <f t="shared" si="21"/>
        <v>0</v>
      </c>
      <c r="BK51" s="30"/>
      <c r="BL51" s="30">
        <v>18</v>
      </c>
      <c r="BW51" s="30">
        <v>21</v>
      </c>
      <c r="BX51" s="4" t="s">
        <v>172</v>
      </c>
    </row>
    <row r="52" spans="1:76" ht="15">
      <c r="A52" s="2" t="s">
        <v>173</v>
      </c>
      <c r="B52" s="3" t="s">
        <v>49</v>
      </c>
      <c r="C52" s="3" t="s">
        <v>174</v>
      </c>
      <c r="D52" s="116" t="s">
        <v>175</v>
      </c>
      <c r="E52" s="111"/>
      <c r="F52" s="3" t="s">
        <v>145</v>
      </c>
      <c r="G52" s="30">
        <v>40</v>
      </c>
      <c r="H52" s="31">
        <v>0</v>
      </c>
      <c r="I52" s="30">
        <f t="shared" si="0"/>
        <v>0</v>
      </c>
      <c r="J52" s="30">
        <v>0</v>
      </c>
      <c r="K52" s="32">
        <f t="shared" si="1"/>
        <v>0</v>
      </c>
      <c r="Z52" s="30">
        <f t="shared" si="2"/>
        <v>0</v>
      </c>
      <c r="AB52" s="30">
        <f t="shared" si="3"/>
        <v>0</v>
      </c>
      <c r="AC52" s="30">
        <f t="shared" si="4"/>
        <v>0</v>
      </c>
      <c r="AD52" s="30">
        <f t="shared" si="5"/>
        <v>0</v>
      </c>
      <c r="AE52" s="30">
        <f t="shared" si="6"/>
        <v>0</v>
      </c>
      <c r="AF52" s="30">
        <f t="shared" si="7"/>
        <v>0</v>
      </c>
      <c r="AG52" s="30">
        <f t="shared" si="8"/>
        <v>0</v>
      </c>
      <c r="AH52" s="30">
        <f t="shared" si="9"/>
        <v>0</v>
      </c>
      <c r="AI52" s="10" t="s">
        <v>49</v>
      </c>
      <c r="AJ52" s="30">
        <f t="shared" si="10"/>
        <v>0</v>
      </c>
      <c r="AK52" s="30">
        <f t="shared" si="11"/>
        <v>0</v>
      </c>
      <c r="AL52" s="30">
        <f t="shared" si="12"/>
        <v>0</v>
      </c>
      <c r="AN52" s="30">
        <v>21</v>
      </c>
      <c r="AO52" s="30">
        <f t="shared" si="22"/>
        <v>0</v>
      </c>
      <c r="AP52" s="30">
        <f t="shared" si="23"/>
        <v>0</v>
      </c>
      <c r="AQ52" s="33" t="s">
        <v>60</v>
      </c>
      <c r="AV52" s="30">
        <f t="shared" si="13"/>
        <v>0</v>
      </c>
      <c r="AW52" s="30">
        <f t="shared" si="14"/>
        <v>0</v>
      </c>
      <c r="AX52" s="30">
        <f t="shared" si="15"/>
        <v>0</v>
      </c>
      <c r="AY52" s="33" t="s">
        <v>114</v>
      </c>
      <c r="AZ52" s="33" t="s">
        <v>58</v>
      </c>
      <c r="BA52" s="10" t="s">
        <v>59</v>
      </c>
      <c r="BC52" s="30">
        <f t="shared" si="16"/>
        <v>0</v>
      </c>
      <c r="BD52" s="30">
        <f t="shared" si="17"/>
        <v>0</v>
      </c>
      <c r="BE52" s="30">
        <v>0</v>
      </c>
      <c r="BF52" s="30">
        <f t="shared" si="18"/>
        <v>0</v>
      </c>
      <c r="BH52" s="30">
        <f t="shared" si="19"/>
        <v>0</v>
      </c>
      <c r="BI52" s="30">
        <f t="shared" si="20"/>
        <v>0</v>
      </c>
      <c r="BJ52" s="30">
        <f t="shared" si="21"/>
        <v>0</v>
      </c>
      <c r="BK52" s="30"/>
      <c r="BL52" s="30">
        <v>18</v>
      </c>
      <c r="BW52" s="30">
        <v>21</v>
      </c>
      <c r="BX52" s="4" t="s">
        <v>175</v>
      </c>
    </row>
    <row r="53" spans="1:76" ht="15">
      <c r="A53" s="2" t="s">
        <v>176</v>
      </c>
      <c r="B53" s="3" t="s">
        <v>49</v>
      </c>
      <c r="C53" s="3" t="s">
        <v>177</v>
      </c>
      <c r="D53" s="116" t="s">
        <v>178</v>
      </c>
      <c r="E53" s="111"/>
      <c r="F53" s="3" t="s">
        <v>179</v>
      </c>
      <c r="G53" s="30">
        <v>5</v>
      </c>
      <c r="H53" s="31">
        <v>0</v>
      </c>
      <c r="I53" s="30">
        <f t="shared" si="0"/>
        <v>0</v>
      </c>
      <c r="J53" s="30">
        <v>0</v>
      </c>
      <c r="K53" s="32">
        <f t="shared" si="1"/>
        <v>0</v>
      </c>
      <c r="Z53" s="30">
        <f t="shared" si="2"/>
        <v>0</v>
      </c>
      <c r="AB53" s="30">
        <f t="shared" si="3"/>
        <v>0</v>
      </c>
      <c r="AC53" s="30">
        <f t="shared" si="4"/>
        <v>0</v>
      </c>
      <c r="AD53" s="30">
        <f t="shared" si="5"/>
        <v>0</v>
      </c>
      <c r="AE53" s="30">
        <f t="shared" si="6"/>
        <v>0</v>
      </c>
      <c r="AF53" s="30">
        <f t="shared" si="7"/>
        <v>0</v>
      </c>
      <c r="AG53" s="30">
        <f t="shared" si="8"/>
        <v>0</v>
      </c>
      <c r="AH53" s="30">
        <f t="shared" si="9"/>
        <v>0</v>
      </c>
      <c r="AI53" s="10" t="s">
        <v>49</v>
      </c>
      <c r="AJ53" s="30">
        <f t="shared" si="10"/>
        <v>0</v>
      </c>
      <c r="AK53" s="30">
        <f t="shared" si="11"/>
        <v>0</v>
      </c>
      <c r="AL53" s="30">
        <f t="shared" si="12"/>
        <v>0</v>
      </c>
      <c r="AN53" s="30">
        <v>21</v>
      </c>
      <c r="AO53" s="30">
        <f t="shared" si="22"/>
        <v>0</v>
      </c>
      <c r="AP53" s="30">
        <f t="shared" si="23"/>
        <v>0</v>
      </c>
      <c r="AQ53" s="33" t="s">
        <v>53</v>
      </c>
      <c r="AV53" s="30">
        <f t="shared" si="13"/>
        <v>0</v>
      </c>
      <c r="AW53" s="30">
        <f t="shared" si="14"/>
        <v>0</v>
      </c>
      <c r="AX53" s="30">
        <f t="shared" si="15"/>
        <v>0</v>
      </c>
      <c r="AY53" s="33" t="s">
        <v>114</v>
      </c>
      <c r="AZ53" s="33" t="s">
        <v>58</v>
      </c>
      <c r="BA53" s="10" t="s">
        <v>59</v>
      </c>
      <c r="BC53" s="30">
        <f t="shared" si="16"/>
        <v>0</v>
      </c>
      <c r="BD53" s="30">
        <f t="shared" si="17"/>
        <v>0</v>
      </c>
      <c r="BE53" s="30">
        <v>0</v>
      </c>
      <c r="BF53" s="30">
        <f t="shared" si="18"/>
        <v>0</v>
      </c>
      <c r="BH53" s="30">
        <f t="shared" si="19"/>
        <v>0</v>
      </c>
      <c r="BI53" s="30">
        <f t="shared" si="20"/>
        <v>0</v>
      </c>
      <c r="BJ53" s="30">
        <f t="shared" si="21"/>
        <v>0</v>
      </c>
      <c r="BK53" s="30"/>
      <c r="BL53" s="30">
        <v>18</v>
      </c>
      <c r="BW53" s="30">
        <v>21</v>
      </c>
      <c r="BX53" s="4" t="s">
        <v>178</v>
      </c>
    </row>
    <row r="54" spans="1:76" ht="15">
      <c r="A54" s="2" t="s">
        <v>180</v>
      </c>
      <c r="B54" s="3" t="s">
        <v>49</v>
      </c>
      <c r="C54" s="3" t="s">
        <v>181</v>
      </c>
      <c r="D54" s="116" t="s">
        <v>182</v>
      </c>
      <c r="E54" s="111"/>
      <c r="F54" s="3" t="s">
        <v>135</v>
      </c>
      <c r="G54" s="30">
        <v>3</v>
      </c>
      <c r="H54" s="31">
        <v>0</v>
      </c>
      <c r="I54" s="30">
        <f t="shared" si="0"/>
        <v>0</v>
      </c>
      <c r="J54" s="30">
        <v>0.01397</v>
      </c>
      <c r="K54" s="32">
        <f t="shared" si="1"/>
        <v>0.04191</v>
      </c>
      <c r="Z54" s="30">
        <f t="shared" si="2"/>
        <v>0</v>
      </c>
      <c r="AB54" s="30">
        <f t="shared" si="3"/>
        <v>0</v>
      </c>
      <c r="AC54" s="30">
        <f t="shared" si="4"/>
        <v>0</v>
      </c>
      <c r="AD54" s="30">
        <f t="shared" si="5"/>
        <v>0</v>
      </c>
      <c r="AE54" s="30">
        <f t="shared" si="6"/>
        <v>0</v>
      </c>
      <c r="AF54" s="30">
        <f t="shared" si="7"/>
        <v>0</v>
      </c>
      <c r="AG54" s="30">
        <f t="shared" si="8"/>
        <v>0</v>
      </c>
      <c r="AH54" s="30">
        <f t="shared" si="9"/>
        <v>0</v>
      </c>
      <c r="AI54" s="10" t="s">
        <v>49</v>
      </c>
      <c r="AJ54" s="30">
        <f t="shared" si="10"/>
        <v>0</v>
      </c>
      <c r="AK54" s="30">
        <f t="shared" si="11"/>
        <v>0</v>
      </c>
      <c r="AL54" s="30">
        <f t="shared" si="12"/>
        <v>0</v>
      </c>
      <c r="AN54" s="30">
        <v>21</v>
      </c>
      <c r="AO54" s="30">
        <f>H54*0.183961549</f>
        <v>0</v>
      </c>
      <c r="AP54" s="30">
        <f>H54*(1-0.183961549)</f>
        <v>0</v>
      </c>
      <c r="AQ54" s="33" t="s">
        <v>53</v>
      </c>
      <c r="AV54" s="30">
        <f t="shared" si="13"/>
        <v>0</v>
      </c>
      <c r="AW54" s="30">
        <f t="shared" si="14"/>
        <v>0</v>
      </c>
      <c r="AX54" s="30">
        <f t="shared" si="15"/>
        <v>0</v>
      </c>
      <c r="AY54" s="33" t="s">
        <v>114</v>
      </c>
      <c r="AZ54" s="33" t="s">
        <v>58</v>
      </c>
      <c r="BA54" s="10" t="s">
        <v>59</v>
      </c>
      <c r="BC54" s="30">
        <f t="shared" si="16"/>
        <v>0</v>
      </c>
      <c r="BD54" s="30">
        <f t="shared" si="17"/>
        <v>0</v>
      </c>
      <c r="BE54" s="30">
        <v>0</v>
      </c>
      <c r="BF54" s="30">
        <f t="shared" si="18"/>
        <v>0.04191</v>
      </c>
      <c r="BH54" s="30">
        <f t="shared" si="19"/>
        <v>0</v>
      </c>
      <c r="BI54" s="30">
        <f t="shared" si="20"/>
        <v>0</v>
      </c>
      <c r="BJ54" s="30">
        <f t="shared" si="21"/>
        <v>0</v>
      </c>
      <c r="BK54" s="30"/>
      <c r="BL54" s="30">
        <v>18</v>
      </c>
      <c r="BW54" s="30">
        <v>21</v>
      </c>
      <c r="BX54" s="4" t="s">
        <v>182</v>
      </c>
    </row>
    <row r="55" spans="1:76" ht="15">
      <c r="A55" s="2" t="s">
        <v>183</v>
      </c>
      <c r="B55" s="3" t="s">
        <v>49</v>
      </c>
      <c r="C55" s="3" t="s">
        <v>184</v>
      </c>
      <c r="D55" s="116" t="s">
        <v>185</v>
      </c>
      <c r="E55" s="111"/>
      <c r="F55" s="3" t="s">
        <v>135</v>
      </c>
      <c r="G55" s="30">
        <v>2</v>
      </c>
      <c r="H55" s="31">
        <v>0</v>
      </c>
      <c r="I55" s="30">
        <f t="shared" si="0"/>
        <v>0</v>
      </c>
      <c r="J55" s="30">
        <v>0.02758</v>
      </c>
      <c r="K55" s="32">
        <f t="shared" si="1"/>
        <v>0.05516</v>
      </c>
      <c r="Z55" s="30">
        <f t="shared" si="2"/>
        <v>0</v>
      </c>
      <c r="AB55" s="30">
        <f t="shared" si="3"/>
        <v>0</v>
      </c>
      <c r="AC55" s="30">
        <f t="shared" si="4"/>
        <v>0</v>
      </c>
      <c r="AD55" s="30">
        <f t="shared" si="5"/>
        <v>0</v>
      </c>
      <c r="AE55" s="30">
        <f t="shared" si="6"/>
        <v>0</v>
      </c>
      <c r="AF55" s="30">
        <f t="shared" si="7"/>
        <v>0</v>
      </c>
      <c r="AG55" s="30">
        <f t="shared" si="8"/>
        <v>0</v>
      </c>
      <c r="AH55" s="30">
        <f t="shared" si="9"/>
        <v>0</v>
      </c>
      <c r="AI55" s="10" t="s">
        <v>49</v>
      </c>
      <c r="AJ55" s="30">
        <f t="shared" si="10"/>
        <v>0</v>
      </c>
      <c r="AK55" s="30">
        <f t="shared" si="11"/>
        <v>0</v>
      </c>
      <c r="AL55" s="30">
        <f t="shared" si="12"/>
        <v>0</v>
      </c>
      <c r="AN55" s="30">
        <v>21</v>
      </c>
      <c r="AO55" s="30">
        <f>H55*0.148172038</f>
        <v>0</v>
      </c>
      <c r="AP55" s="30">
        <f>H55*(1-0.148172038)</f>
        <v>0</v>
      </c>
      <c r="AQ55" s="33" t="s">
        <v>53</v>
      </c>
      <c r="AV55" s="30">
        <f t="shared" si="13"/>
        <v>0</v>
      </c>
      <c r="AW55" s="30">
        <f t="shared" si="14"/>
        <v>0</v>
      </c>
      <c r="AX55" s="30">
        <f t="shared" si="15"/>
        <v>0</v>
      </c>
      <c r="AY55" s="33" t="s">
        <v>114</v>
      </c>
      <c r="AZ55" s="33" t="s">
        <v>58</v>
      </c>
      <c r="BA55" s="10" t="s">
        <v>59</v>
      </c>
      <c r="BC55" s="30">
        <f t="shared" si="16"/>
        <v>0</v>
      </c>
      <c r="BD55" s="30">
        <f t="shared" si="17"/>
        <v>0</v>
      </c>
      <c r="BE55" s="30">
        <v>0</v>
      </c>
      <c r="BF55" s="30">
        <f t="shared" si="18"/>
        <v>0.05516</v>
      </c>
      <c r="BH55" s="30">
        <f t="shared" si="19"/>
        <v>0</v>
      </c>
      <c r="BI55" s="30">
        <f t="shared" si="20"/>
        <v>0</v>
      </c>
      <c r="BJ55" s="30">
        <f t="shared" si="21"/>
        <v>0</v>
      </c>
      <c r="BK55" s="30"/>
      <c r="BL55" s="30">
        <v>18</v>
      </c>
      <c r="BW55" s="30">
        <v>21</v>
      </c>
      <c r="BX55" s="4" t="s">
        <v>185</v>
      </c>
    </row>
    <row r="56" spans="1:76" ht="15">
      <c r="A56" s="2" t="s">
        <v>186</v>
      </c>
      <c r="B56" s="3" t="s">
        <v>49</v>
      </c>
      <c r="C56" s="3" t="s">
        <v>187</v>
      </c>
      <c r="D56" s="116" t="s">
        <v>188</v>
      </c>
      <c r="E56" s="111"/>
      <c r="F56" s="3" t="s">
        <v>135</v>
      </c>
      <c r="G56" s="30">
        <v>5</v>
      </c>
      <c r="H56" s="31">
        <v>0</v>
      </c>
      <c r="I56" s="30">
        <f t="shared" si="0"/>
        <v>0</v>
      </c>
      <c r="J56" s="30">
        <v>0</v>
      </c>
      <c r="K56" s="32">
        <f t="shared" si="1"/>
        <v>0</v>
      </c>
      <c r="Z56" s="30">
        <f t="shared" si="2"/>
        <v>0</v>
      </c>
      <c r="AB56" s="30">
        <f t="shared" si="3"/>
        <v>0</v>
      </c>
      <c r="AC56" s="30">
        <f t="shared" si="4"/>
        <v>0</v>
      </c>
      <c r="AD56" s="30">
        <f t="shared" si="5"/>
        <v>0</v>
      </c>
      <c r="AE56" s="30">
        <f t="shared" si="6"/>
        <v>0</v>
      </c>
      <c r="AF56" s="30">
        <f t="shared" si="7"/>
        <v>0</v>
      </c>
      <c r="AG56" s="30">
        <f t="shared" si="8"/>
        <v>0</v>
      </c>
      <c r="AH56" s="30">
        <f t="shared" si="9"/>
        <v>0</v>
      </c>
      <c r="AI56" s="10" t="s">
        <v>49</v>
      </c>
      <c r="AJ56" s="30">
        <f t="shared" si="10"/>
        <v>0</v>
      </c>
      <c r="AK56" s="30">
        <f t="shared" si="11"/>
        <v>0</v>
      </c>
      <c r="AL56" s="30">
        <f t="shared" si="12"/>
        <v>0</v>
      </c>
      <c r="AN56" s="30">
        <v>21</v>
      </c>
      <c r="AO56" s="30">
        <f>H56*0</f>
        <v>0</v>
      </c>
      <c r="AP56" s="30">
        <f>H56*(1-0)</f>
        <v>0</v>
      </c>
      <c r="AQ56" s="33" t="s">
        <v>53</v>
      </c>
      <c r="AV56" s="30">
        <f t="shared" si="13"/>
        <v>0</v>
      </c>
      <c r="AW56" s="30">
        <f t="shared" si="14"/>
        <v>0</v>
      </c>
      <c r="AX56" s="30">
        <f t="shared" si="15"/>
        <v>0</v>
      </c>
      <c r="AY56" s="33" t="s">
        <v>114</v>
      </c>
      <c r="AZ56" s="33" t="s">
        <v>58</v>
      </c>
      <c r="BA56" s="10" t="s">
        <v>59</v>
      </c>
      <c r="BC56" s="30">
        <f t="shared" si="16"/>
        <v>0</v>
      </c>
      <c r="BD56" s="30">
        <f t="shared" si="17"/>
        <v>0</v>
      </c>
      <c r="BE56" s="30">
        <v>0</v>
      </c>
      <c r="BF56" s="30">
        <f t="shared" si="18"/>
        <v>0</v>
      </c>
      <c r="BH56" s="30">
        <f t="shared" si="19"/>
        <v>0</v>
      </c>
      <c r="BI56" s="30">
        <f t="shared" si="20"/>
        <v>0</v>
      </c>
      <c r="BJ56" s="30">
        <f t="shared" si="21"/>
        <v>0</v>
      </c>
      <c r="BK56" s="30"/>
      <c r="BL56" s="30">
        <v>18</v>
      </c>
      <c r="BW56" s="30">
        <v>21</v>
      </c>
      <c r="BX56" s="4" t="s">
        <v>188</v>
      </c>
    </row>
    <row r="57" spans="1:76" ht="15">
      <c r="A57" s="2" t="s">
        <v>189</v>
      </c>
      <c r="B57" s="3" t="s">
        <v>49</v>
      </c>
      <c r="C57" s="3" t="s">
        <v>190</v>
      </c>
      <c r="D57" s="116" t="s">
        <v>191</v>
      </c>
      <c r="E57" s="111"/>
      <c r="F57" s="3" t="s">
        <v>145</v>
      </c>
      <c r="G57" s="30">
        <v>2</v>
      </c>
      <c r="H57" s="31">
        <v>0</v>
      </c>
      <c r="I57" s="30">
        <f t="shared" si="0"/>
        <v>0</v>
      </c>
      <c r="J57" s="30">
        <v>0</v>
      </c>
      <c r="K57" s="32">
        <f t="shared" si="1"/>
        <v>0</v>
      </c>
      <c r="Z57" s="30">
        <f t="shared" si="2"/>
        <v>0</v>
      </c>
      <c r="AB57" s="30">
        <f t="shared" si="3"/>
        <v>0</v>
      </c>
      <c r="AC57" s="30">
        <f t="shared" si="4"/>
        <v>0</v>
      </c>
      <c r="AD57" s="30">
        <f t="shared" si="5"/>
        <v>0</v>
      </c>
      <c r="AE57" s="30">
        <f t="shared" si="6"/>
        <v>0</v>
      </c>
      <c r="AF57" s="30">
        <f t="shared" si="7"/>
        <v>0</v>
      </c>
      <c r="AG57" s="30">
        <f t="shared" si="8"/>
        <v>0</v>
      </c>
      <c r="AH57" s="30">
        <f t="shared" si="9"/>
        <v>0</v>
      </c>
      <c r="AI57" s="10" t="s">
        <v>49</v>
      </c>
      <c r="AJ57" s="30">
        <f t="shared" si="10"/>
        <v>0</v>
      </c>
      <c r="AK57" s="30">
        <f t="shared" si="11"/>
        <v>0</v>
      </c>
      <c r="AL57" s="30">
        <f t="shared" si="12"/>
        <v>0</v>
      </c>
      <c r="AN57" s="30">
        <v>21</v>
      </c>
      <c r="AO57" s="30">
        <f>H57*0</f>
        <v>0</v>
      </c>
      <c r="AP57" s="30">
        <f>H57*(1-0)</f>
        <v>0</v>
      </c>
      <c r="AQ57" s="33" t="s">
        <v>60</v>
      </c>
      <c r="AV57" s="30">
        <f t="shared" si="13"/>
        <v>0</v>
      </c>
      <c r="AW57" s="30">
        <f t="shared" si="14"/>
        <v>0</v>
      </c>
      <c r="AX57" s="30">
        <f t="shared" si="15"/>
        <v>0</v>
      </c>
      <c r="AY57" s="33" t="s">
        <v>114</v>
      </c>
      <c r="AZ57" s="33" t="s">
        <v>58</v>
      </c>
      <c r="BA57" s="10" t="s">
        <v>59</v>
      </c>
      <c r="BC57" s="30">
        <f t="shared" si="16"/>
        <v>0</v>
      </c>
      <c r="BD57" s="30">
        <f t="shared" si="17"/>
        <v>0</v>
      </c>
      <c r="BE57" s="30">
        <v>0</v>
      </c>
      <c r="BF57" s="30">
        <f t="shared" si="18"/>
        <v>0</v>
      </c>
      <c r="BH57" s="30">
        <f t="shared" si="19"/>
        <v>0</v>
      </c>
      <c r="BI57" s="30">
        <f t="shared" si="20"/>
        <v>0</v>
      </c>
      <c r="BJ57" s="30">
        <f t="shared" si="21"/>
        <v>0</v>
      </c>
      <c r="BK57" s="30"/>
      <c r="BL57" s="30">
        <v>18</v>
      </c>
      <c r="BW57" s="30">
        <v>21</v>
      </c>
      <c r="BX57" s="4" t="s">
        <v>191</v>
      </c>
    </row>
    <row r="58" spans="1:76" ht="15">
      <c r="A58" s="2" t="s">
        <v>192</v>
      </c>
      <c r="B58" s="3" t="s">
        <v>49</v>
      </c>
      <c r="C58" s="3" t="s">
        <v>193</v>
      </c>
      <c r="D58" s="116" t="s">
        <v>194</v>
      </c>
      <c r="E58" s="111"/>
      <c r="F58" s="3" t="s">
        <v>145</v>
      </c>
      <c r="G58" s="30">
        <v>2</v>
      </c>
      <c r="H58" s="31">
        <v>0</v>
      </c>
      <c r="I58" s="30">
        <f t="shared" si="0"/>
        <v>0</v>
      </c>
      <c r="J58" s="30">
        <v>0</v>
      </c>
      <c r="K58" s="32">
        <f t="shared" si="1"/>
        <v>0</v>
      </c>
      <c r="Z58" s="30">
        <f t="shared" si="2"/>
        <v>0</v>
      </c>
      <c r="AB58" s="30">
        <f t="shared" si="3"/>
        <v>0</v>
      </c>
      <c r="AC58" s="30">
        <f t="shared" si="4"/>
        <v>0</v>
      </c>
      <c r="AD58" s="30">
        <f t="shared" si="5"/>
        <v>0</v>
      </c>
      <c r="AE58" s="30">
        <f t="shared" si="6"/>
        <v>0</v>
      </c>
      <c r="AF58" s="30">
        <f t="shared" si="7"/>
        <v>0</v>
      </c>
      <c r="AG58" s="30">
        <f t="shared" si="8"/>
        <v>0</v>
      </c>
      <c r="AH58" s="30">
        <f t="shared" si="9"/>
        <v>0</v>
      </c>
      <c r="AI58" s="10" t="s">
        <v>49</v>
      </c>
      <c r="AJ58" s="30">
        <f t="shared" si="10"/>
        <v>0</v>
      </c>
      <c r="AK58" s="30">
        <f t="shared" si="11"/>
        <v>0</v>
      </c>
      <c r="AL58" s="30">
        <f t="shared" si="12"/>
        <v>0</v>
      </c>
      <c r="AN58" s="30">
        <v>21</v>
      </c>
      <c r="AO58" s="30">
        <f>H58*0</f>
        <v>0</v>
      </c>
      <c r="AP58" s="30">
        <f>H58*(1-0)</f>
        <v>0</v>
      </c>
      <c r="AQ58" s="33" t="s">
        <v>60</v>
      </c>
      <c r="AV58" s="30">
        <f t="shared" si="13"/>
        <v>0</v>
      </c>
      <c r="AW58" s="30">
        <f t="shared" si="14"/>
        <v>0</v>
      </c>
      <c r="AX58" s="30">
        <f t="shared" si="15"/>
        <v>0</v>
      </c>
      <c r="AY58" s="33" t="s">
        <v>114</v>
      </c>
      <c r="AZ58" s="33" t="s">
        <v>58</v>
      </c>
      <c r="BA58" s="10" t="s">
        <v>59</v>
      </c>
      <c r="BC58" s="30">
        <f t="shared" si="16"/>
        <v>0</v>
      </c>
      <c r="BD58" s="30">
        <f t="shared" si="17"/>
        <v>0</v>
      </c>
      <c r="BE58" s="30">
        <v>0</v>
      </c>
      <c r="BF58" s="30">
        <f t="shared" si="18"/>
        <v>0</v>
      </c>
      <c r="BH58" s="30">
        <f t="shared" si="19"/>
        <v>0</v>
      </c>
      <c r="BI58" s="30">
        <f t="shared" si="20"/>
        <v>0</v>
      </c>
      <c r="BJ58" s="30">
        <f t="shared" si="21"/>
        <v>0</v>
      </c>
      <c r="BK58" s="30"/>
      <c r="BL58" s="30">
        <v>18</v>
      </c>
      <c r="BW58" s="30">
        <v>21</v>
      </c>
      <c r="BX58" s="4" t="s">
        <v>194</v>
      </c>
    </row>
    <row r="59" spans="1:76" ht="15">
      <c r="A59" s="2" t="s">
        <v>195</v>
      </c>
      <c r="B59" s="3" t="s">
        <v>49</v>
      </c>
      <c r="C59" s="3" t="s">
        <v>193</v>
      </c>
      <c r="D59" s="116" t="s">
        <v>196</v>
      </c>
      <c r="E59" s="111"/>
      <c r="F59" s="3" t="s">
        <v>145</v>
      </c>
      <c r="G59" s="30">
        <v>1</v>
      </c>
      <c r="H59" s="31">
        <v>0</v>
      </c>
      <c r="I59" s="30">
        <f t="shared" si="0"/>
        <v>0</v>
      </c>
      <c r="J59" s="30">
        <v>0</v>
      </c>
      <c r="K59" s="32">
        <f t="shared" si="1"/>
        <v>0</v>
      </c>
      <c r="Z59" s="30">
        <f t="shared" si="2"/>
        <v>0</v>
      </c>
      <c r="AB59" s="30">
        <f t="shared" si="3"/>
        <v>0</v>
      </c>
      <c r="AC59" s="30">
        <f t="shared" si="4"/>
        <v>0</v>
      </c>
      <c r="AD59" s="30">
        <f t="shared" si="5"/>
        <v>0</v>
      </c>
      <c r="AE59" s="30">
        <f t="shared" si="6"/>
        <v>0</v>
      </c>
      <c r="AF59" s="30">
        <f t="shared" si="7"/>
        <v>0</v>
      </c>
      <c r="AG59" s="30">
        <f t="shared" si="8"/>
        <v>0</v>
      </c>
      <c r="AH59" s="30">
        <f t="shared" si="9"/>
        <v>0</v>
      </c>
      <c r="AI59" s="10" t="s">
        <v>49</v>
      </c>
      <c r="AJ59" s="30">
        <f t="shared" si="10"/>
        <v>0</v>
      </c>
      <c r="AK59" s="30">
        <f t="shared" si="11"/>
        <v>0</v>
      </c>
      <c r="AL59" s="30">
        <f t="shared" si="12"/>
        <v>0</v>
      </c>
      <c r="AN59" s="30">
        <v>21</v>
      </c>
      <c r="AO59" s="30">
        <f>H59*0</f>
        <v>0</v>
      </c>
      <c r="AP59" s="30">
        <f>H59*(1-0)</f>
        <v>0</v>
      </c>
      <c r="AQ59" s="33" t="s">
        <v>60</v>
      </c>
      <c r="AV59" s="30">
        <f t="shared" si="13"/>
        <v>0</v>
      </c>
      <c r="AW59" s="30">
        <f t="shared" si="14"/>
        <v>0</v>
      </c>
      <c r="AX59" s="30">
        <f t="shared" si="15"/>
        <v>0</v>
      </c>
      <c r="AY59" s="33" t="s">
        <v>114</v>
      </c>
      <c r="AZ59" s="33" t="s">
        <v>58</v>
      </c>
      <c r="BA59" s="10" t="s">
        <v>59</v>
      </c>
      <c r="BC59" s="30">
        <f t="shared" si="16"/>
        <v>0</v>
      </c>
      <c r="BD59" s="30">
        <f t="shared" si="17"/>
        <v>0</v>
      </c>
      <c r="BE59" s="30">
        <v>0</v>
      </c>
      <c r="BF59" s="30">
        <f t="shared" si="18"/>
        <v>0</v>
      </c>
      <c r="BH59" s="30">
        <f t="shared" si="19"/>
        <v>0</v>
      </c>
      <c r="BI59" s="30">
        <f t="shared" si="20"/>
        <v>0</v>
      </c>
      <c r="BJ59" s="30">
        <f t="shared" si="21"/>
        <v>0</v>
      </c>
      <c r="BK59" s="30"/>
      <c r="BL59" s="30">
        <v>18</v>
      </c>
      <c r="BW59" s="30">
        <v>21</v>
      </c>
      <c r="BX59" s="4" t="s">
        <v>196</v>
      </c>
    </row>
    <row r="60" spans="1:47" ht="15">
      <c r="A60" s="25" t="s">
        <v>48</v>
      </c>
      <c r="B60" s="26" t="s">
        <v>49</v>
      </c>
      <c r="C60" s="26" t="s">
        <v>152</v>
      </c>
      <c r="D60" s="135" t="s">
        <v>197</v>
      </c>
      <c r="E60" s="136"/>
      <c r="F60" s="27" t="s">
        <v>4</v>
      </c>
      <c r="G60" s="27" t="s">
        <v>4</v>
      </c>
      <c r="H60" s="28" t="s">
        <v>4</v>
      </c>
      <c r="I60" s="1">
        <f>SUM(I61:I62)</f>
        <v>0</v>
      </c>
      <c r="J60" s="10" t="s">
        <v>48</v>
      </c>
      <c r="K60" s="29">
        <f>SUM(K61:K62)</f>
        <v>0.12115537499999998</v>
      </c>
      <c r="AI60" s="10" t="s">
        <v>49</v>
      </c>
      <c r="AS60" s="1">
        <f>SUM(AJ61:AJ62)</f>
        <v>0</v>
      </c>
      <c r="AT60" s="1">
        <f>SUM(AK61:AK62)</f>
        <v>0</v>
      </c>
      <c r="AU60" s="1">
        <f>SUM(AL61:AL62)</f>
        <v>0</v>
      </c>
    </row>
    <row r="61" spans="1:76" ht="15">
      <c r="A61" s="2" t="s">
        <v>198</v>
      </c>
      <c r="B61" s="3" t="s">
        <v>49</v>
      </c>
      <c r="C61" s="3" t="s">
        <v>199</v>
      </c>
      <c r="D61" s="116" t="s">
        <v>200</v>
      </c>
      <c r="E61" s="111"/>
      <c r="F61" s="3" t="s">
        <v>56</v>
      </c>
      <c r="G61" s="30">
        <v>351.175</v>
      </c>
      <c r="H61" s="31">
        <v>0</v>
      </c>
      <c r="I61" s="30">
        <f>G61*H61</f>
        <v>0</v>
      </c>
      <c r="J61" s="30">
        <v>3E-05</v>
      </c>
      <c r="K61" s="32">
        <f>G61*J61</f>
        <v>0.010535250000000001</v>
      </c>
      <c r="Z61" s="30">
        <f>IF(AQ61="5",BJ61,0)</f>
        <v>0</v>
      </c>
      <c r="AB61" s="30">
        <f>IF(AQ61="1",BH61,0)</f>
        <v>0</v>
      </c>
      <c r="AC61" s="30">
        <f>IF(AQ61="1",BI61,0)</f>
        <v>0</v>
      </c>
      <c r="AD61" s="30">
        <f>IF(AQ61="7",BH61,0)</f>
        <v>0</v>
      </c>
      <c r="AE61" s="30">
        <f>IF(AQ61="7",BI61,0)</f>
        <v>0</v>
      </c>
      <c r="AF61" s="30">
        <f>IF(AQ61="2",BH61,0)</f>
        <v>0</v>
      </c>
      <c r="AG61" s="30">
        <f>IF(AQ61="2",BI61,0)</f>
        <v>0</v>
      </c>
      <c r="AH61" s="30">
        <f>IF(AQ61="0",BJ61,0)</f>
        <v>0</v>
      </c>
      <c r="AI61" s="10" t="s">
        <v>49</v>
      </c>
      <c r="AJ61" s="30">
        <f>IF(AN61=0,I61,0)</f>
        <v>0</v>
      </c>
      <c r="AK61" s="30">
        <f>IF(AN61=12,I61,0)</f>
        <v>0</v>
      </c>
      <c r="AL61" s="30">
        <f>IF(AN61=21,I61,0)</f>
        <v>0</v>
      </c>
      <c r="AN61" s="30">
        <v>21</v>
      </c>
      <c r="AO61" s="30">
        <f>H61*0.02158591</f>
        <v>0</v>
      </c>
      <c r="AP61" s="30">
        <f>H61*(1-0.02158591)</f>
        <v>0</v>
      </c>
      <c r="AQ61" s="33" t="s">
        <v>53</v>
      </c>
      <c r="AV61" s="30">
        <f>AW61+AX61</f>
        <v>0</v>
      </c>
      <c r="AW61" s="30">
        <f>G61*AO61</f>
        <v>0</v>
      </c>
      <c r="AX61" s="30">
        <f>G61*AP61</f>
        <v>0</v>
      </c>
      <c r="AY61" s="33" t="s">
        <v>201</v>
      </c>
      <c r="AZ61" s="33" t="s">
        <v>202</v>
      </c>
      <c r="BA61" s="10" t="s">
        <v>59</v>
      </c>
      <c r="BC61" s="30">
        <f>AW61+AX61</f>
        <v>0</v>
      </c>
      <c r="BD61" s="30">
        <f>H61/(100-BE61)*100</f>
        <v>0</v>
      </c>
      <c r="BE61" s="30">
        <v>0</v>
      </c>
      <c r="BF61" s="30">
        <f>K61</f>
        <v>0.010535250000000001</v>
      </c>
      <c r="BH61" s="30">
        <f>G61*AO61</f>
        <v>0</v>
      </c>
      <c r="BI61" s="30">
        <f>G61*AP61</f>
        <v>0</v>
      </c>
      <c r="BJ61" s="30">
        <f>G61*H61</f>
        <v>0</v>
      </c>
      <c r="BK61" s="30"/>
      <c r="BL61" s="30">
        <v>28</v>
      </c>
      <c r="BW61" s="30">
        <v>21</v>
      </c>
      <c r="BX61" s="4" t="s">
        <v>200</v>
      </c>
    </row>
    <row r="62" spans="1:76" ht="15">
      <c r="A62" s="2" t="s">
        <v>203</v>
      </c>
      <c r="B62" s="3" t="s">
        <v>49</v>
      </c>
      <c r="C62" s="3" t="s">
        <v>204</v>
      </c>
      <c r="D62" s="116" t="s">
        <v>205</v>
      </c>
      <c r="E62" s="111"/>
      <c r="F62" s="3" t="s">
        <v>56</v>
      </c>
      <c r="G62" s="30">
        <v>368.73375</v>
      </c>
      <c r="H62" s="31">
        <v>0</v>
      </c>
      <c r="I62" s="30">
        <f>G62*H62</f>
        <v>0</v>
      </c>
      <c r="J62" s="30">
        <v>0.0003</v>
      </c>
      <c r="K62" s="32">
        <f>G62*J62</f>
        <v>0.11062012499999999</v>
      </c>
      <c r="Z62" s="30">
        <f>IF(AQ62="5",BJ62,0)</f>
        <v>0</v>
      </c>
      <c r="AB62" s="30">
        <f>IF(AQ62="1",BH62,0)</f>
        <v>0</v>
      </c>
      <c r="AC62" s="30">
        <f>IF(AQ62="1",BI62,0)</f>
        <v>0</v>
      </c>
      <c r="AD62" s="30">
        <f>IF(AQ62="7",BH62,0)</f>
        <v>0</v>
      </c>
      <c r="AE62" s="30">
        <f>IF(AQ62="7",BI62,0)</f>
        <v>0</v>
      </c>
      <c r="AF62" s="30">
        <f>IF(AQ62="2",BH62,0)</f>
        <v>0</v>
      </c>
      <c r="AG62" s="30">
        <f>IF(AQ62="2",BI62,0)</f>
        <v>0</v>
      </c>
      <c r="AH62" s="30">
        <f>IF(AQ62="0",BJ62,0)</f>
        <v>0</v>
      </c>
      <c r="AI62" s="10" t="s">
        <v>49</v>
      </c>
      <c r="AJ62" s="30">
        <f>IF(AN62=0,I62,0)</f>
        <v>0</v>
      </c>
      <c r="AK62" s="30">
        <f>IF(AN62=12,I62,0)</f>
        <v>0</v>
      </c>
      <c r="AL62" s="30">
        <f>IF(AN62=21,I62,0)</f>
        <v>0</v>
      </c>
      <c r="AN62" s="30">
        <v>21</v>
      </c>
      <c r="AO62" s="30">
        <f>H62*1</f>
        <v>0</v>
      </c>
      <c r="AP62" s="30">
        <f>H62*(1-1)</f>
        <v>0</v>
      </c>
      <c r="AQ62" s="33" t="s">
        <v>53</v>
      </c>
      <c r="AV62" s="30">
        <f>AW62+AX62</f>
        <v>0</v>
      </c>
      <c r="AW62" s="30">
        <f>G62*AO62</f>
        <v>0</v>
      </c>
      <c r="AX62" s="30">
        <f>G62*AP62</f>
        <v>0</v>
      </c>
      <c r="AY62" s="33" t="s">
        <v>201</v>
      </c>
      <c r="AZ62" s="33" t="s">
        <v>202</v>
      </c>
      <c r="BA62" s="10" t="s">
        <v>59</v>
      </c>
      <c r="BC62" s="30">
        <f>AW62+AX62</f>
        <v>0</v>
      </c>
      <c r="BD62" s="30">
        <f>H62/(100-BE62)*100</f>
        <v>0</v>
      </c>
      <c r="BE62" s="30">
        <v>0</v>
      </c>
      <c r="BF62" s="30">
        <f>K62</f>
        <v>0.11062012499999999</v>
      </c>
      <c r="BH62" s="30">
        <f>G62*AO62</f>
        <v>0</v>
      </c>
      <c r="BI62" s="30">
        <f>G62*AP62</f>
        <v>0</v>
      </c>
      <c r="BJ62" s="30">
        <f>G62*H62</f>
        <v>0</v>
      </c>
      <c r="BK62" s="30"/>
      <c r="BL62" s="30">
        <v>28</v>
      </c>
      <c r="BW62" s="30">
        <v>21</v>
      </c>
      <c r="BX62" s="4" t="s">
        <v>205</v>
      </c>
    </row>
    <row r="63" spans="1:47" ht="15">
      <c r="A63" s="25" t="s">
        <v>48</v>
      </c>
      <c r="B63" s="26" t="s">
        <v>49</v>
      </c>
      <c r="C63" s="26" t="s">
        <v>167</v>
      </c>
      <c r="D63" s="135" t="s">
        <v>206</v>
      </c>
      <c r="E63" s="136"/>
      <c r="F63" s="27" t="s">
        <v>4</v>
      </c>
      <c r="G63" s="27" t="s">
        <v>4</v>
      </c>
      <c r="H63" s="28" t="s">
        <v>4</v>
      </c>
      <c r="I63" s="1">
        <f>SUM(I64:I64)</f>
        <v>0</v>
      </c>
      <c r="J63" s="10" t="s">
        <v>48</v>
      </c>
      <c r="K63" s="29">
        <f>SUM(K64:K64)</f>
        <v>1.44375</v>
      </c>
      <c r="AI63" s="10" t="s">
        <v>49</v>
      </c>
      <c r="AS63" s="1">
        <f>SUM(AJ64:AJ64)</f>
        <v>0</v>
      </c>
      <c r="AT63" s="1">
        <f>SUM(AK64:AK64)</f>
        <v>0</v>
      </c>
      <c r="AU63" s="1">
        <f>SUM(AL64:AL64)</f>
        <v>0</v>
      </c>
    </row>
    <row r="64" spans="1:76" ht="15">
      <c r="A64" s="2" t="s">
        <v>207</v>
      </c>
      <c r="B64" s="3" t="s">
        <v>49</v>
      </c>
      <c r="C64" s="3" t="s">
        <v>208</v>
      </c>
      <c r="D64" s="116" t="s">
        <v>209</v>
      </c>
      <c r="E64" s="111"/>
      <c r="F64" s="3" t="s">
        <v>69</v>
      </c>
      <c r="G64" s="30">
        <v>10.5</v>
      </c>
      <c r="H64" s="31">
        <v>0</v>
      </c>
      <c r="I64" s="30">
        <f>G64*H64</f>
        <v>0</v>
      </c>
      <c r="J64" s="30">
        <v>0.1375</v>
      </c>
      <c r="K64" s="32">
        <f>G64*J64</f>
        <v>1.44375</v>
      </c>
      <c r="Z64" s="30">
        <f>IF(AQ64="5",BJ64,0)</f>
        <v>0</v>
      </c>
      <c r="AB64" s="30">
        <f>IF(AQ64="1",BH64,0)</f>
        <v>0</v>
      </c>
      <c r="AC64" s="30">
        <f>IF(AQ64="1",BI64,0)</f>
        <v>0</v>
      </c>
      <c r="AD64" s="30">
        <f>IF(AQ64="7",BH64,0)</f>
        <v>0</v>
      </c>
      <c r="AE64" s="30">
        <f>IF(AQ64="7",BI64,0)</f>
        <v>0</v>
      </c>
      <c r="AF64" s="30">
        <f>IF(AQ64="2",BH64,0)</f>
        <v>0</v>
      </c>
      <c r="AG64" s="30">
        <f>IF(AQ64="2",BI64,0)</f>
        <v>0</v>
      </c>
      <c r="AH64" s="30">
        <f>IF(AQ64="0",BJ64,0)</f>
        <v>0</v>
      </c>
      <c r="AI64" s="10" t="s">
        <v>49</v>
      </c>
      <c r="AJ64" s="30">
        <f>IF(AN64=0,I64,0)</f>
        <v>0</v>
      </c>
      <c r="AK64" s="30">
        <f>IF(AN64=12,I64,0)</f>
        <v>0</v>
      </c>
      <c r="AL64" s="30">
        <f>IF(AN64=21,I64,0)</f>
        <v>0</v>
      </c>
      <c r="AN64" s="30">
        <v>21</v>
      </c>
      <c r="AO64" s="30">
        <f>H64*0.181643186</f>
        <v>0</v>
      </c>
      <c r="AP64" s="30">
        <f>H64*(1-0.181643186)</f>
        <v>0</v>
      </c>
      <c r="AQ64" s="33" t="s">
        <v>53</v>
      </c>
      <c r="AV64" s="30">
        <f>AW64+AX64</f>
        <v>0</v>
      </c>
      <c r="AW64" s="30">
        <f>G64*AO64</f>
        <v>0</v>
      </c>
      <c r="AX64" s="30">
        <f>G64*AP64</f>
        <v>0</v>
      </c>
      <c r="AY64" s="33" t="s">
        <v>210</v>
      </c>
      <c r="AZ64" s="33" t="s">
        <v>211</v>
      </c>
      <c r="BA64" s="10" t="s">
        <v>59</v>
      </c>
      <c r="BC64" s="30">
        <f>AW64+AX64</f>
        <v>0</v>
      </c>
      <c r="BD64" s="30">
        <f>H64/(100-BE64)*100</f>
        <v>0</v>
      </c>
      <c r="BE64" s="30">
        <v>0</v>
      </c>
      <c r="BF64" s="30">
        <f>K64</f>
        <v>1.44375</v>
      </c>
      <c r="BH64" s="30">
        <f>G64*AO64</f>
        <v>0</v>
      </c>
      <c r="BI64" s="30">
        <f>G64*AP64</f>
        <v>0</v>
      </c>
      <c r="BJ64" s="30">
        <f>G64*H64</f>
        <v>0</v>
      </c>
      <c r="BK64" s="30"/>
      <c r="BL64" s="30">
        <v>33</v>
      </c>
      <c r="BW64" s="30">
        <v>21</v>
      </c>
      <c r="BX64" s="4" t="s">
        <v>209</v>
      </c>
    </row>
    <row r="65" spans="1:47" ht="15">
      <c r="A65" s="25" t="s">
        <v>48</v>
      </c>
      <c r="B65" s="26" t="s">
        <v>49</v>
      </c>
      <c r="C65" s="26" t="s">
        <v>212</v>
      </c>
      <c r="D65" s="135" t="s">
        <v>213</v>
      </c>
      <c r="E65" s="136"/>
      <c r="F65" s="27" t="s">
        <v>4</v>
      </c>
      <c r="G65" s="27" t="s">
        <v>4</v>
      </c>
      <c r="H65" s="28" t="s">
        <v>4</v>
      </c>
      <c r="I65" s="1">
        <f>SUM(I66:I66)</f>
        <v>0</v>
      </c>
      <c r="J65" s="10" t="s">
        <v>48</v>
      </c>
      <c r="K65" s="29">
        <f>SUM(K66:K66)</f>
        <v>126.664006</v>
      </c>
      <c r="AI65" s="10" t="s">
        <v>49</v>
      </c>
      <c r="AS65" s="1">
        <f>SUM(AJ66:AJ66)</f>
        <v>0</v>
      </c>
      <c r="AT65" s="1">
        <f>SUM(AK66:AK66)</f>
        <v>0</v>
      </c>
      <c r="AU65" s="1">
        <f>SUM(AL66:AL66)</f>
        <v>0</v>
      </c>
    </row>
    <row r="66" spans="1:76" ht="15">
      <c r="A66" s="2" t="s">
        <v>214</v>
      </c>
      <c r="B66" s="3" t="s">
        <v>49</v>
      </c>
      <c r="C66" s="3" t="s">
        <v>215</v>
      </c>
      <c r="D66" s="116" t="s">
        <v>216</v>
      </c>
      <c r="E66" s="111"/>
      <c r="F66" s="3" t="s">
        <v>56</v>
      </c>
      <c r="G66" s="30">
        <v>208.6</v>
      </c>
      <c r="H66" s="31">
        <v>0</v>
      </c>
      <c r="I66" s="30">
        <f>G66*H66</f>
        <v>0</v>
      </c>
      <c r="J66" s="30">
        <v>0.60721</v>
      </c>
      <c r="K66" s="32">
        <f>G66*J66</f>
        <v>126.664006</v>
      </c>
      <c r="Z66" s="30">
        <f>IF(AQ66="5",BJ66,0)</f>
        <v>0</v>
      </c>
      <c r="AB66" s="30">
        <f>IF(AQ66="1",BH66,0)</f>
        <v>0</v>
      </c>
      <c r="AC66" s="30">
        <f>IF(AQ66="1",BI66,0)</f>
        <v>0</v>
      </c>
      <c r="AD66" s="30">
        <f>IF(AQ66="7",BH66,0)</f>
        <v>0</v>
      </c>
      <c r="AE66" s="30">
        <f>IF(AQ66="7",BI66,0)</f>
        <v>0</v>
      </c>
      <c r="AF66" s="30">
        <f>IF(AQ66="2",BH66,0)</f>
        <v>0</v>
      </c>
      <c r="AG66" s="30">
        <f>IF(AQ66="2",BI66,0)</f>
        <v>0</v>
      </c>
      <c r="AH66" s="30">
        <f>IF(AQ66="0",BJ66,0)</f>
        <v>0</v>
      </c>
      <c r="AI66" s="10" t="s">
        <v>49</v>
      </c>
      <c r="AJ66" s="30">
        <f>IF(AN66=0,I66,0)</f>
        <v>0</v>
      </c>
      <c r="AK66" s="30">
        <f>IF(AN66=12,I66,0)</f>
        <v>0</v>
      </c>
      <c r="AL66" s="30">
        <f>IF(AN66=21,I66,0)</f>
        <v>0</v>
      </c>
      <c r="AN66" s="30">
        <v>21</v>
      </c>
      <c r="AO66" s="30">
        <f>H66*0.863650485</f>
        <v>0</v>
      </c>
      <c r="AP66" s="30">
        <f>H66*(1-0.863650485)</f>
        <v>0</v>
      </c>
      <c r="AQ66" s="33" t="s">
        <v>53</v>
      </c>
      <c r="AV66" s="30">
        <f>AW66+AX66</f>
        <v>0</v>
      </c>
      <c r="AW66" s="30">
        <f>G66*AO66</f>
        <v>0</v>
      </c>
      <c r="AX66" s="30">
        <f>G66*AP66</f>
        <v>0</v>
      </c>
      <c r="AY66" s="33" t="s">
        <v>217</v>
      </c>
      <c r="AZ66" s="33" t="s">
        <v>218</v>
      </c>
      <c r="BA66" s="10" t="s">
        <v>59</v>
      </c>
      <c r="BC66" s="30">
        <f>AW66+AX66</f>
        <v>0</v>
      </c>
      <c r="BD66" s="30">
        <f>H66/(100-BE66)*100</f>
        <v>0</v>
      </c>
      <c r="BE66" s="30">
        <v>0</v>
      </c>
      <c r="BF66" s="30">
        <f>K66</f>
        <v>126.664006</v>
      </c>
      <c r="BH66" s="30">
        <f>G66*AO66</f>
        <v>0</v>
      </c>
      <c r="BI66" s="30">
        <f>G66*AP66</f>
        <v>0</v>
      </c>
      <c r="BJ66" s="30">
        <f>G66*H66</f>
        <v>0</v>
      </c>
      <c r="BK66" s="30"/>
      <c r="BL66" s="30">
        <v>56</v>
      </c>
      <c r="BW66" s="30">
        <v>21</v>
      </c>
      <c r="BX66" s="4" t="s">
        <v>216</v>
      </c>
    </row>
    <row r="67" spans="1:47" ht="15">
      <c r="A67" s="25" t="s">
        <v>48</v>
      </c>
      <c r="B67" s="26" t="s">
        <v>49</v>
      </c>
      <c r="C67" s="26" t="s">
        <v>219</v>
      </c>
      <c r="D67" s="135" t="s">
        <v>220</v>
      </c>
      <c r="E67" s="136"/>
      <c r="F67" s="27" t="s">
        <v>4</v>
      </c>
      <c r="G67" s="27" t="s">
        <v>4</v>
      </c>
      <c r="H67" s="28" t="s">
        <v>4</v>
      </c>
      <c r="I67" s="1">
        <f>SUM(I68:I70)</f>
        <v>0</v>
      </c>
      <c r="J67" s="10" t="s">
        <v>48</v>
      </c>
      <c r="K67" s="29">
        <f>SUM(K68:K70)</f>
        <v>47.85716875</v>
      </c>
      <c r="AI67" s="10" t="s">
        <v>49</v>
      </c>
      <c r="AS67" s="1">
        <f>SUM(AJ68:AJ70)</f>
        <v>0</v>
      </c>
      <c r="AT67" s="1">
        <f>SUM(AK68:AK70)</f>
        <v>0</v>
      </c>
      <c r="AU67" s="1">
        <f>SUM(AL68:AL70)</f>
        <v>0</v>
      </c>
    </row>
    <row r="68" spans="1:76" ht="15">
      <c r="A68" s="2" t="s">
        <v>221</v>
      </c>
      <c r="B68" s="3" t="s">
        <v>49</v>
      </c>
      <c r="C68" s="3" t="s">
        <v>222</v>
      </c>
      <c r="D68" s="116" t="s">
        <v>223</v>
      </c>
      <c r="E68" s="111"/>
      <c r="F68" s="3" t="s">
        <v>56</v>
      </c>
      <c r="G68" s="30">
        <v>221.62</v>
      </c>
      <c r="H68" s="31">
        <v>0</v>
      </c>
      <c r="I68" s="30">
        <f>G68*H68</f>
        <v>0</v>
      </c>
      <c r="J68" s="30">
        <v>0.0739</v>
      </c>
      <c r="K68" s="32">
        <f>G68*J68</f>
        <v>16.377717999999998</v>
      </c>
      <c r="Z68" s="30">
        <f>IF(AQ68="5",BJ68,0)</f>
        <v>0</v>
      </c>
      <c r="AB68" s="30">
        <f>IF(AQ68="1",BH68,0)</f>
        <v>0</v>
      </c>
      <c r="AC68" s="30">
        <f>IF(AQ68="1",BI68,0)</f>
        <v>0</v>
      </c>
      <c r="AD68" s="30">
        <f>IF(AQ68="7",BH68,0)</f>
        <v>0</v>
      </c>
      <c r="AE68" s="30">
        <f>IF(AQ68="7",BI68,0)</f>
        <v>0</v>
      </c>
      <c r="AF68" s="30">
        <f>IF(AQ68="2",BH68,0)</f>
        <v>0</v>
      </c>
      <c r="AG68" s="30">
        <f>IF(AQ68="2",BI68,0)</f>
        <v>0</v>
      </c>
      <c r="AH68" s="30">
        <f>IF(AQ68="0",BJ68,0)</f>
        <v>0</v>
      </c>
      <c r="AI68" s="10" t="s">
        <v>49</v>
      </c>
      <c r="AJ68" s="30">
        <f>IF(AN68=0,I68,0)</f>
        <v>0</v>
      </c>
      <c r="AK68" s="30">
        <f>IF(AN68=12,I68,0)</f>
        <v>0</v>
      </c>
      <c r="AL68" s="30">
        <f>IF(AN68=21,I68,0)</f>
        <v>0</v>
      </c>
      <c r="AN68" s="30">
        <v>21</v>
      </c>
      <c r="AO68" s="30">
        <f>H68*0.170541401</f>
        <v>0</v>
      </c>
      <c r="AP68" s="30">
        <f>H68*(1-0.170541401)</f>
        <v>0</v>
      </c>
      <c r="AQ68" s="33" t="s">
        <v>53</v>
      </c>
      <c r="AV68" s="30">
        <f>AW68+AX68</f>
        <v>0</v>
      </c>
      <c r="AW68" s="30">
        <f>G68*AO68</f>
        <v>0</v>
      </c>
      <c r="AX68" s="30">
        <f>G68*AP68</f>
        <v>0</v>
      </c>
      <c r="AY68" s="33" t="s">
        <v>224</v>
      </c>
      <c r="AZ68" s="33" t="s">
        <v>218</v>
      </c>
      <c r="BA68" s="10" t="s">
        <v>59</v>
      </c>
      <c r="BC68" s="30">
        <f>AW68+AX68</f>
        <v>0</v>
      </c>
      <c r="BD68" s="30">
        <f>H68/(100-BE68)*100</f>
        <v>0</v>
      </c>
      <c r="BE68" s="30">
        <v>0</v>
      </c>
      <c r="BF68" s="30">
        <f>K68</f>
        <v>16.377717999999998</v>
      </c>
      <c r="BH68" s="30">
        <f>G68*AO68</f>
        <v>0</v>
      </c>
      <c r="BI68" s="30">
        <f>G68*AP68</f>
        <v>0</v>
      </c>
      <c r="BJ68" s="30">
        <f>G68*H68</f>
        <v>0</v>
      </c>
      <c r="BK68" s="30"/>
      <c r="BL68" s="30">
        <v>59</v>
      </c>
      <c r="BW68" s="30">
        <v>21</v>
      </c>
      <c r="BX68" s="4" t="s">
        <v>223</v>
      </c>
    </row>
    <row r="69" spans="1:76" ht="15">
      <c r="A69" s="2" t="s">
        <v>225</v>
      </c>
      <c r="B69" s="3" t="s">
        <v>49</v>
      </c>
      <c r="C69" s="3" t="s">
        <v>226</v>
      </c>
      <c r="D69" s="116" t="s">
        <v>227</v>
      </c>
      <c r="E69" s="111"/>
      <c r="F69" s="3" t="s">
        <v>69</v>
      </c>
      <c r="G69" s="30">
        <v>95.675</v>
      </c>
      <c r="H69" s="31">
        <v>0</v>
      </c>
      <c r="I69" s="30">
        <f>G69*H69</f>
        <v>0</v>
      </c>
      <c r="J69" s="30">
        <v>0.00033</v>
      </c>
      <c r="K69" s="32">
        <f>G69*J69</f>
        <v>0.03157275</v>
      </c>
      <c r="Z69" s="30">
        <f>IF(AQ69="5",BJ69,0)</f>
        <v>0</v>
      </c>
      <c r="AB69" s="30">
        <f>IF(AQ69="1",BH69,0)</f>
        <v>0</v>
      </c>
      <c r="AC69" s="30">
        <f>IF(AQ69="1",BI69,0)</f>
        <v>0</v>
      </c>
      <c r="AD69" s="30">
        <f>IF(AQ69="7",BH69,0)</f>
        <v>0</v>
      </c>
      <c r="AE69" s="30">
        <f>IF(AQ69="7",BI69,0)</f>
        <v>0</v>
      </c>
      <c r="AF69" s="30">
        <f>IF(AQ69="2",BH69,0)</f>
        <v>0</v>
      </c>
      <c r="AG69" s="30">
        <f>IF(AQ69="2",BI69,0)</f>
        <v>0</v>
      </c>
      <c r="AH69" s="30">
        <f>IF(AQ69="0",BJ69,0)</f>
        <v>0</v>
      </c>
      <c r="AI69" s="10" t="s">
        <v>49</v>
      </c>
      <c r="AJ69" s="30">
        <f>IF(AN69=0,I69,0)</f>
        <v>0</v>
      </c>
      <c r="AK69" s="30">
        <f>IF(AN69=12,I69,0)</f>
        <v>0</v>
      </c>
      <c r="AL69" s="30">
        <f>IF(AN69=21,I69,0)</f>
        <v>0</v>
      </c>
      <c r="AN69" s="30">
        <v>21</v>
      </c>
      <c r="AO69" s="30">
        <f>H69*0.053195824</f>
        <v>0</v>
      </c>
      <c r="AP69" s="30">
        <f>H69*(1-0.053195824)</f>
        <v>0</v>
      </c>
      <c r="AQ69" s="33" t="s">
        <v>53</v>
      </c>
      <c r="AV69" s="30">
        <f>AW69+AX69</f>
        <v>0</v>
      </c>
      <c r="AW69" s="30">
        <f>G69*AO69</f>
        <v>0</v>
      </c>
      <c r="AX69" s="30">
        <f>G69*AP69</f>
        <v>0</v>
      </c>
      <c r="AY69" s="33" t="s">
        <v>224</v>
      </c>
      <c r="AZ69" s="33" t="s">
        <v>218</v>
      </c>
      <c r="BA69" s="10" t="s">
        <v>59</v>
      </c>
      <c r="BC69" s="30">
        <f>AW69+AX69</f>
        <v>0</v>
      </c>
      <c r="BD69" s="30">
        <f>H69/(100-BE69)*100</f>
        <v>0</v>
      </c>
      <c r="BE69" s="30">
        <v>0</v>
      </c>
      <c r="BF69" s="30">
        <f>K69</f>
        <v>0.03157275</v>
      </c>
      <c r="BH69" s="30">
        <f>G69*AO69</f>
        <v>0</v>
      </c>
      <c r="BI69" s="30">
        <f>G69*AP69</f>
        <v>0</v>
      </c>
      <c r="BJ69" s="30">
        <f>G69*H69</f>
        <v>0</v>
      </c>
      <c r="BK69" s="30"/>
      <c r="BL69" s="30">
        <v>59</v>
      </c>
      <c r="BW69" s="30">
        <v>21</v>
      </c>
      <c r="BX69" s="4" t="s">
        <v>227</v>
      </c>
    </row>
    <row r="70" spans="1:76" ht="15">
      <c r="A70" s="2" t="s">
        <v>228</v>
      </c>
      <c r="B70" s="3" t="s">
        <v>49</v>
      </c>
      <c r="C70" s="3" t="s">
        <v>229</v>
      </c>
      <c r="D70" s="116" t="s">
        <v>230</v>
      </c>
      <c r="E70" s="111"/>
      <c r="F70" s="3" t="s">
        <v>56</v>
      </c>
      <c r="G70" s="30">
        <v>243.782</v>
      </c>
      <c r="H70" s="31">
        <v>0</v>
      </c>
      <c r="I70" s="30">
        <f>G70*H70</f>
        <v>0</v>
      </c>
      <c r="J70" s="30">
        <v>0.129</v>
      </c>
      <c r="K70" s="32">
        <f>G70*J70</f>
        <v>31.447878000000003</v>
      </c>
      <c r="Z70" s="30">
        <f>IF(AQ70="5",BJ70,0)</f>
        <v>0</v>
      </c>
      <c r="AB70" s="30">
        <f>IF(AQ70="1",BH70,0)</f>
        <v>0</v>
      </c>
      <c r="AC70" s="30">
        <f>IF(AQ70="1",BI70,0)</f>
        <v>0</v>
      </c>
      <c r="AD70" s="30">
        <f>IF(AQ70="7",BH70,0)</f>
        <v>0</v>
      </c>
      <c r="AE70" s="30">
        <f>IF(AQ70="7",BI70,0)</f>
        <v>0</v>
      </c>
      <c r="AF70" s="30">
        <f>IF(AQ70="2",BH70,0)</f>
        <v>0</v>
      </c>
      <c r="AG70" s="30">
        <f>IF(AQ70="2",BI70,0)</f>
        <v>0</v>
      </c>
      <c r="AH70" s="30">
        <f>IF(AQ70="0",BJ70,0)</f>
        <v>0</v>
      </c>
      <c r="AI70" s="10" t="s">
        <v>49</v>
      </c>
      <c r="AJ70" s="30">
        <f>IF(AN70=0,I70,0)</f>
        <v>0</v>
      </c>
      <c r="AK70" s="30">
        <f>IF(AN70=12,I70,0)</f>
        <v>0</v>
      </c>
      <c r="AL70" s="30">
        <f>IF(AN70=21,I70,0)</f>
        <v>0</v>
      </c>
      <c r="AN70" s="30">
        <v>21</v>
      </c>
      <c r="AO70" s="30">
        <f>H70*1</f>
        <v>0</v>
      </c>
      <c r="AP70" s="30">
        <f>H70*(1-1)</f>
        <v>0</v>
      </c>
      <c r="AQ70" s="33" t="s">
        <v>53</v>
      </c>
      <c r="AV70" s="30">
        <f>AW70+AX70</f>
        <v>0</v>
      </c>
      <c r="AW70" s="30">
        <f>G70*AO70</f>
        <v>0</v>
      </c>
      <c r="AX70" s="30">
        <f>G70*AP70</f>
        <v>0</v>
      </c>
      <c r="AY70" s="33" t="s">
        <v>224</v>
      </c>
      <c r="AZ70" s="33" t="s">
        <v>218</v>
      </c>
      <c r="BA70" s="10" t="s">
        <v>59</v>
      </c>
      <c r="BC70" s="30">
        <f>AW70+AX70</f>
        <v>0</v>
      </c>
      <c r="BD70" s="30">
        <f>H70/(100-BE70)*100</f>
        <v>0</v>
      </c>
      <c r="BE70" s="30">
        <v>0</v>
      </c>
      <c r="BF70" s="30">
        <f>K70</f>
        <v>31.447878000000003</v>
      </c>
      <c r="BH70" s="30">
        <f>G70*AO70</f>
        <v>0</v>
      </c>
      <c r="BI70" s="30">
        <f>G70*AP70</f>
        <v>0</v>
      </c>
      <c r="BJ70" s="30">
        <f>G70*H70</f>
        <v>0</v>
      </c>
      <c r="BK70" s="30"/>
      <c r="BL70" s="30">
        <v>59</v>
      </c>
      <c r="BW70" s="30">
        <v>21</v>
      </c>
      <c r="BX70" s="4" t="s">
        <v>230</v>
      </c>
    </row>
    <row r="71" spans="1:11" ht="67.5" customHeight="1">
      <c r="A71" s="34"/>
      <c r="C71" s="35" t="s">
        <v>231</v>
      </c>
      <c r="D71" s="137" t="s">
        <v>232</v>
      </c>
      <c r="E71" s="138"/>
      <c r="F71" s="138"/>
      <c r="G71" s="138"/>
      <c r="H71" s="139"/>
      <c r="I71" s="138"/>
      <c r="J71" s="138"/>
      <c r="K71" s="140"/>
    </row>
    <row r="72" spans="1:47" ht="15">
      <c r="A72" s="25" t="s">
        <v>48</v>
      </c>
      <c r="B72" s="26" t="s">
        <v>49</v>
      </c>
      <c r="C72" s="26" t="s">
        <v>233</v>
      </c>
      <c r="D72" s="135" t="s">
        <v>234</v>
      </c>
      <c r="E72" s="136"/>
      <c r="F72" s="27" t="s">
        <v>4</v>
      </c>
      <c r="G72" s="27" t="s">
        <v>4</v>
      </c>
      <c r="H72" s="28" t="s">
        <v>4</v>
      </c>
      <c r="I72" s="1">
        <f>SUM(I73:I73)</f>
        <v>0</v>
      </c>
      <c r="J72" s="10" t="s">
        <v>48</v>
      </c>
      <c r="K72" s="29">
        <f>SUM(K73:K73)</f>
        <v>0.20095</v>
      </c>
      <c r="AI72" s="10" t="s">
        <v>49</v>
      </c>
      <c r="AS72" s="1">
        <f>SUM(AJ73:AJ73)</f>
        <v>0</v>
      </c>
      <c r="AT72" s="1">
        <f>SUM(AK73:AK73)</f>
        <v>0</v>
      </c>
      <c r="AU72" s="1">
        <f>SUM(AL73:AL73)</f>
        <v>0</v>
      </c>
    </row>
    <row r="73" spans="1:76" ht="15">
      <c r="A73" s="2" t="s">
        <v>235</v>
      </c>
      <c r="B73" s="3" t="s">
        <v>49</v>
      </c>
      <c r="C73" s="3" t="s">
        <v>236</v>
      </c>
      <c r="D73" s="116" t="s">
        <v>237</v>
      </c>
      <c r="E73" s="111"/>
      <c r="F73" s="3" t="s">
        <v>56</v>
      </c>
      <c r="G73" s="30">
        <v>5</v>
      </c>
      <c r="H73" s="31">
        <v>0</v>
      </c>
      <c r="I73" s="30">
        <f>G73*H73</f>
        <v>0</v>
      </c>
      <c r="J73" s="30">
        <v>0.04019</v>
      </c>
      <c r="K73" s="32">
        <f>G73*J73</f>
        <v>0.20095</v>
      </c>
      <c r="Z73" s="30">
        <f>IF(AQ73="5",BJ73,0)</f>
        <v>0</v>
      </c>
      <c r="AB73" s="30">
        <f>IF(AQ73="1",BH73,0)</f>
        <v>0</v>
      </c>
      <c r="AC73" s="30">
        <f>IF(AQ73="1",BI73,0)</f>
        <v>0</v>
      </c>
      <c r="AD73" s="30">
        <f>IF(AQ73="7",BH73,0)</f>
        <v>0</v>
      </c>
      <c r="AE73" s="30">
        <f>IF(AQ73="7",BI73,0)</f>
        <v>0</v>
      </c>
      <c r="AF73" s="30">
        <f>IF(AQ73="2",BH73,0)</f>
        <v>0</v>
      </c>
      <c r="AG73" s="30">
        <f>IF(AQ73="2",BI73,0)</f>
        <v>0</v>
      </c>
      <c r="AH73" s="30">
        <f>IF(AQ73="0",BJ73,0)</f>
        <v>0</v>
      </c>
      <c r="AI73" s="10" t="s">
        <v>49</v>
      </c>
      <c r="AJ73" s="30">
        <f>IF(AN73=0,I73,0)</f>
        <v>0</v>
      </c>
      <c r="AK73" s="30">
        <f>IF(AN73=12,I73,0)</f>
        <v>0</v>
      </c>
      <c r="AL73" s="30">
        <f>IF(AN73=21,I73,0)</f>
        <v>0</v>
      </c>
      <c r="AN73" s="30">
        <v>21</v>
      </c>
      <c r="AO73" s="30">
        <f>H73*0.650522073</f>
        <v>0</v>
      </c>
      <c r="AP73" s="30">
        <f>H73*(1-0.650522073)</f>
        <v>0</v>
      </c>
      <c r="AQ73" s="33" t="s">
        <v>53</v>
      </c>
      <c r="AV73" s="30">
        <f>AW73+AX73</f>
        <v>0</v>
      </c>
      <c r="AW73" s="30">
        <f>G73*AO73</f>
        <v>0</v>
      </c>
      <c r="AX73" s="30">
        <f>G73*AP73</f>
        <v>0</v>
      </c>
      <c r="AY73" s="33" t="s">
        <v>238</v>
      </c>
      <c r="AZ73" s="33" t="s">
        <v>239</v>
      </c>
      <c r="BA73" s="10" t="s">
        <v>59</v>
      </c>
      <c r="BC73" s="30">
        <f>AW73+AX73</f>
        <v>0</v>
      </c>
      <c r="BD73" s="30">
        <f>H73/(100-BE73)*100</f>
        <v>0</v>
      </c>
      <c r="BE73" s="30">
        <v>0</v>
      </c>
      <c r="BF73" s="30">
        <f>K73</f>
        <v>0.20095</v>
      </c>
      <c r="BH73" s="30">
        <f>G73*AO73</f>
        <v>0</v>
      </c>
      <c r="BI73" s="30">
        <f>G73*AP73</f>
        <v>0</v>
      </c>
      <c r="BJ73" s="30">
        <f>G73*H73</f>
        <v>0</v>
      </c>
      <c r="BK73" s="30"/>
      <c r="BL73" s="30">
        <v>62</v>
      </c>
      <c r="BW73" s="30">
        <v>21</v>
      </c>
      <c r="BX73" s="4" t="s">
        <v>237</v>
      </c>
    </row>
    <row r="74" spans="1:47" ht="15">
      <c r="A74" s="25" t="s">
        <v>48</v>
      </c>
      <c r="B74" s="26" t="s">
        <v>49</v>
      </c>
      <c r="C74" s="26" t="s">
        <v>240</v>
      </c>
      <c r="D74" s="135" t="s">
        <v>241</v>
      </c>
      <c r="E74" s="136"/>
      <c r="F74" s="27" t="s">
        <v>4</v>
      </c>
      <c r="G74" s="27" t="s">
        <v>4</v>
      </c>
      <c r="H74" s="28" t="s">
        <v>4</v>
      </c>
      <c r="I74" s="1">
        <f>SUM(I75:I75)</f>
        <v>0</v>
      </c>
      <c r="J74" s="10" t="s">
        <v>48</v>
      </c>
      <c r="K74" s="29">
        <f>SUM(K75:K75)</f>
        <v>7.504</v>
      </c>
      <c r="AI74" s="10" t="s">
        <v>49</v>
      </c>
      <c r="AS74" s="1">
        <f>SUM(AJ75:AJ75)</f>
        <v>0</v>
      </c>
      <c r="AT74" s="1">
        <f>SUM(AK75:AK75)</f>
        <v>0</v>
      </c>
      <c r="AU74" s="1">
        <f>SUM(AL75:AL75)</f>
        <v>0</v>
      </c>
    </row>
    <row r="75" spans="1:76" ht="15">
      <c r="A75" s="2" t="s">
        <v>242</v>
      </c>
      <c r="B75" s="3" t="s">
        <v>49</v>
      </c>
      <c r="C75" s="3" t="s">
        <v>243</v>
      </c>
      <c r="D75" s="116" t="s">
        <v>244</v>
      </c>
      <c r="E75" s="111"/>
      <c r="F75" s="3" t="s">
        <v>56</v>
      </c>
      <c r="G75" s="30">
        <v>46.9</v>
      </c>
      <c r="H75" s="31">
        <v>0</v>
      </c>
      <c r="I75" s="30">
        <f>G75*H75</f>
        <v>0</v>
      </c>
      <c r="J75" s="30">
        <v>0.16</v>
      </c>
      <c r="K75" s="32">
        <f>G75*J75</f>
        <v>7.504</v>
      </c>
      <c r="Z75" s="30">
        <f>IF(AQ75="5",BJ75,0)</f>
        <v>0</v>
      </c>
      <c r="AB75" s="30">
        <f>IF(AQ75="1",BH75,0)</f>
        <v>0</v>
      </c>
      <c r="AC75" s="30">
        <f>IF(AQ75="1",BI75,0)</f>
        <v>0</v>
      </c>
      <c r="AD75" s="30">
        <f>IF(AQ75="7",BH75,0)</f>
        <v>0</v>
      </c>
      <c r="AE75" s="30">
        <f>IF(AQ75="7",BI75,0)</f>
        <v>0</v>
      </c>
      <c r="AF75" s="30">
        <f>IF(AQ75="2",BH75,0)</f>
        <v>0</v>
      </c>
      <c r="AG75" s="30">
        <f>IF(AQ75="2",BI75,0)</f>
        <v>0</v>
      </c>
      <c r="AH75" s="30">
        <f>IF(AQ75="0",BJ75,0)</f>
        <v>0</v>
      </c>
      <c r="AI75" s="10" t="s">
        <v>49</v>
      </c>
      <c r="AJ75" s="30">
        <f>IF(AN75=0,I75,0)</f>
        <v>0</v>
      </c>
      <c r="AK75" s="30">
        <f>IF(AN75=12,I75,0)</f>
        <v>0</v>
      </c>
      <c r="AL75" s="30">
        <f>IF(AN75=21,I75,0)</f>
        <v>0</v>
      </c>
      <c r="AN75" s="30">
        <v>21</v>
      </c>
      <c r="AO75" s="30">
        <f>H75*0.89390117</f>
        <v>0</v>
      </c>
      <c r="AP75" s="30">
        <f>H75*(1-0.89390117)</f>
        <v>0</v>
      </c>
      <c r="AQ75" s="33" t="s">
        <v>53</v>
      </c>
      <c r="AV75" s="30">
        <f>AW75+AX75</f>
        <v>0</v>
      </c>
      <c r="AW75" s="30">
        <f>G75*AO75</f>
        <v>0</v>
      </c>
      <c r="AX75" s="30">
        <f>G75*AP75</f>
        <v>0</v>
      </c>
      <c r="AY75" s="33" t="s">
        <v>245</v>
      </c>
      <c r="AZ75" s="33" t="s">
        <v>239</v>
      </c>
      <c r="BA75" s="10" t="s">
        <v>59</v>
      </c>
      <c r="BC75" s="30">
        <f>AW75+AX75</f>
        <v>0</v>
      </c>
      <c r="BD75" s="30">
        <f>H75/(100-BE75)*100</f>
        <v>0</v>
      </c>
      <c r="BE75" s="30">
        <v>0</v>
      </c>
      <c r="BF75" s="30">
        <f>K75</f>
        <v>7.504</v>
      </c>
      <c r="BH75" s="30">
        <f>G75*AO75</f>
        <v>0</v>
      </c>
      <c r="BI75" s="30">
        <f>G75*AP75</f>
        <v>0</v>
      </c>
      <c r="BJ75" s="30">
        <f>G75*H75</f>
        <v>0</v>
      </c>
      <c r="BK75" s="30"/>
      <c r="BL75" s="30">
        <v>63</v>
      </c>
      <c r="BW75" s="30">
        <v>21</v>
      </c>
      <c r="BX75" s="4" t="s">
        <v>244</v>
      </c>
    </row>
    <row r="76" spans="1:11" ht="13.5" customHeight="1">
      <c r="A76" s="34"/>
      <c r="C76" s="35" t="s">
        <v>231</v>
      </c>
      <c r="D76" s="137" t="s">
        <v>246</v>
      </c>
      <c r="E76" s="138"/>
      <c r="F76" s="138"/>
      <c r="G76" s="138"/>
      <c r="H76" s="139"/>
      <c r="I76" s="138"/>
      <c r="J76" s="138"/>
      <c r="K76" s="140"/>
    </row>
    <row r="77" spans="1:47" ht="15">
      <c r="A77" s="25" t="s">
        <v>48</v>
      </c>
      <c r="B77" s="26" t="s">
        <v>49</v>
      </c>
      <c r="C77" s="26" t="s">
        <v>247</v>
      </c>
      <c r="D77" s="135" t="s">
        <v>248</v>
      </c>
      <c r="E77" s="136"/>
      <c r="F77" s="27" t="s">
        <v>4</v>
      </c>
      <c r="G77" s="27" t="s">
        <v>4</v>
      </c>
      <c r="H77" s="28" t="s">
        <v>4</v>
      </c>
      <c r="I77" s="1">
        <f>SUM(I78:I84)</f>
        <v>0</v>
      </c>
      <c r="J77" s="10" t="s">
        <v>48</v>
      </c>
      <c r="K77" s="29">
        <f>SUM(K78:K84)</f>
        <v>0.07522774</v>
      </c>
      <c r="AI77" s="10" t="s">
        <v>49</v>
      </c>
      <c r="AS77" s="1">
        <f>SUM(AJ78:AJ84)</f>
        <v>0</v>
      </c>
      <c r="AT77" s="1">
        <f>SUM(AK78:AK84)</f>
        <v>0</v>
      </c>
      <c r="AU77" s="1">
        <f>SUM(AL78:AL84)</f>
        <v>0</v>
      </c>
    </row>
    <row r="78" spans="1:76" ht="15">
      <c r="A78" s="2" t="s">
        <v>249</v>
      </c>
      <c r="B78" s="3" t="s">
        <v>49</v>
      </c>
      <c r="C78" s="3" t="s">
        <v>250</v>
      </c>
      <c r="D78" s="116" t="s">
        <v>251</v>
      </c>
      <c r="E78" s="111"/>
      <c r="F78" s="3" t="s">
        <v>56</v>
      </c>
      <c r="G78" s="30">
        <v>35.89</v>
      </c>
      <c r="H78" s="31">
        <v>0</v>
      </c>
      <c r="I78" s="30">
        <f>G78*H78</f>
        <v>0</v>
      </c>
      <c r="J78" s="30">
        <v>0.00115</v>
      </c>
      <c r="K78" s="32">
        <f>G78*J78</f>
        <v>0.0412735</v>
      </c>
      <c r="Z78" s="30">
        <f>IF(AQ78="5",BJ78,0)</f>
        <v>0</v>
      </c>
      <c r="AB78" s="30">
        <f>IF(AQ78="1",BH78,0)</f>
        <v>0</v>
      </c>
      <c r="AC78" s="30">
        <f>IF(AQ78="1",BI78,0)</f>
        <v>0</v>
      </c>
      <c r="AD78" s="30">
        <f>IF(AQ78="7",BH78,0)</f>
        <v>0</v>
      </c>
      <c r="AE78" s="30">
        <f>IF(AQ78="7",BI78,0)</f>
        <v>0</v>
      </c>
      <c r="AF78" s="30">
        <f>IF(AQ78="2",BH78,0)</f>
        <v>0</v>
      </c>
      <c r="AG78" s="30">
        <f>IF(AQ78="2",BI78,0)</f>
        <v>0</v>
      </c>
      <c r="AH78" s="30">
        <f>IF(AQ78="0",BJ78,0)</f>
        <v>0</v>
      </c>
      <c r="AI78" s="10" t="s">
        <v>49</v>
      </c>
      <c r="AJ78" s="30">
        <f>IF(AN78=0,I78,0)</f>
        <v>0</v>
      </c>
      <c r="AK78" s="30">
        <f>IF(AN78=12,I78,0)</f>
        <v>0</v>
      </c>
      <c r="AL78" s="30">
        <f>IF(AN78=21,I78,0)</f>
        <v>0</v>
      </c>
      <c r="AN78" s="30">
        <v>21</v>
      </c>
      <c r="AO78" s="30">
        <f>H78*0.698885246</f>
        <v>0</v>
      </c>
      <c r="AP78" s="30">
        <f>H78*(1-0.698885246)</f>
        <v>0</v>
      </c>
      <c r="AQ78" s="33" t="s">
        <v>80</v>
      </c>
      <c r="AV78" s="30">
        <f>AW78+AX78</f>
        <v>0</v>
      </c>
      <c r="AW78" s="30">
        <f>G78*AO78</f>
        <v>0</v>
      </c>
      <c r="AX78" s="30">
        <f>G78*AP78</f>
        <v>0</v>
      </c>
      <c r="AY78" s="33" t="s">
        <v>252</v>
      </c>
      <c r="AZ78" s="33" t="s">
        <v>253</v>
      </c>
      <c r="BA78" s="10" t="s">
        <v>59</v>
      </c>
      <c r="BC78" s="30">
        <f>AW78+AX78</f>
        <v>0</v>
      </c>
      <c r="BD78" s="30">
        <f>H78/(100-BE78)*100</f>
        <v>0</v>
      </c>
      <c r="BE78" s="30">
        <v>0</v>
      </c>
      <c r="BF78" s="30">
        <f>K78</f>
        <v>0.0412735</v>
      </c>
      <c r="BH78" s="30">
        <f>G78*AO78</f>
        <v>0</v>
      </c>
      <c r="BI78" s="30">
        <f>G78*AP78</f>
        <v>0</v>
      </c>
      <c r="BJ78" s="30">
        <f>G78*H78</f>
        <v>0</v>
      </c>
      <c r="BK78" s="30"/>
      <c r="BL78" s="30">
        <v>711</v>
      </c>
      <c r="BW78" s="30">
        <v>21</v>
      </c>
      <c r="BX78" s="4" t="s">
        <v>251</v>
      </c>
    </row>
    <row r="79" spans="1:11" ht="13.5" customHeight="1">
      <c r="A79" s="34"/>
      <c r="C79" s="35" t="s">
        <v>254</v>
      </c>
      <c r="D79" s="137" t="s">
        <v>255</v>
      </c>
      <c r="E79" s="138"/>
      <c r="F79" s="138"/>
      <c r="G79" s="138"/>
      <c r="H79" s="139"/>
      <c r="I79" s="138"/>
      <c r="J79" s="138"/>
      <c r="K79" s="140"/>
    </row>
    <row r="80" spans="1:76" ht="15">
      <c r="A80" s="2" t="s">
        <v>256</v>
      </c>
      <c r="B80" s="3" t="s">
        <v>49</v>
      </c>
      <c r="C80" s="3" t="s">
        <v>257</v>
      </c>
      <c r="D80" s="116" t="s">
        <v>258</v>
      </c>
      <c r="E80" s="111"/>
      <c r="F80" s="3" t="s">
        <v>69</v>
      </c>
      <c r="G80" s="30">
        <v>71.78</v>
      </c>
      <c r="H80" s="31">
        <v>0</v>
      </c>
      <c r="I80" s="30">
        <f>G80*H80</f>
        <v>0</v>
      </c>
      <c r="J80" s="30">
        <v>0.00033</v>
      </c>
      <c r="K80" s="32">
        <f>G80*J80</f>
        <v>0.0236874</v>
      </c>
      <c r="Z80" s="30">
        <f>IF(AQ80="5",BJ80,0)</f>
        <v>0</v>
      </c>
      <c r="AB80" s="30">
        <f>IF(AQ80="1",BH80,0)</f>
        <v>0</v>
      </c>
      <c r="AC80" s="30">
        <f>IF(AQ80="1",BI80,0)</f>
        <v>0</v>
      </c>
      <c r="AD80" s="30">
        <f>IF(AQ80="7",BH80,0)</f>
        <v>0</v>
      </c>
      <c r="AE80" s="30">
        <f>IF(AQ80="7",BI80,0)</f>
        <v>0</v>
      </c>
      <c r="AF80" s="30">
        <f>IF(AQ80="2",BH80,0)</f>
        <v>0</v>
      </c>
      <c r="AG80" s="30">
        <f>IF(AQ80="2",BI80,0)</f>
        <v>0</v>
      </c>
      <c r="AH80" s="30">
        <f>IF(AQ80="0",BJ80,0)</f>
        <v>0</v>
      </c>
      <c r="AI80" s="10" t="s">
        <v>49</v>
      </c>
      <c r="AJ80" s="30">
        <f>IF(AN80=0,I80,0)</f>
        <v>0</v>
      </c>
      <c r="AK80" s="30">
        <f>IF(AN80=12,I80,0)</f>
        <v>0</v>
      </c>
      <c r="AL80" s="30">
        <f>IF(AN80=21,I80,0)</f>
        <v>0</v>
      </c>
      <c r="AN80" s="30">
        <v>21</v>
      </c>
      <c r="AO80" s="30">
        <f>H80*0.740271493</f>
        <v>0</v>
      </c>
      <c r="AP80" s="30">
        <f>H80*(1-0.740271493)</f>
        <v>0</v>
      </c>
      <c r="AQ80" s="33" t="s">
        <v>80</v>
      </c>
      <c r="AV80" s="30">
        <f>AW80+AX80</f>
        <v>0</v>
      </c>
      <c r="AW80" s="30">
        <f>G80*AO80</f>
        <v>0</v>
      </c>
      <c r="AX80" s="30">
        <f>G80*AP80</f>
        <v>0</v>
      </c>
      <c r="AY80" s="33" t="s">
        <v>252</v>
      </c>
      <c r="AZ80" s="33" t="s">
        <v>253</v>
      </c>
      <c r="BA80" s="10" t="s">
        <v>59</v>
      </c>
      <c r="BC80" s="30">
        <f>AW80+AX80</f>
        <v>0</v>
      </c>
      <c r="BD80" s="30">
        <f>H80/(100-BE80)*100</f>
        <v>0</v>
      </c>
      <c r="BE80" s="30">
        <v>0</v>
      </c>
      <c r="BF80" s="30">
        <f>K80</f>
        <v>0.0236874</v>
      </c>
      <c r="BH80" s="30">
        <f>G80*AO80</f>
        <v>0</v>
      </c>
      <c r="BI80" s="30">
        <f>G80*AP80</f>
        <v>0</v>
      </c>
      <c r="BJ80" s="30">
        <f>G80*H80</f>
        <v>0</v>
      </c>
      <c r="BK80" s="30"/>
      <c r="BL80" s="30">
        <v>711</v>
      </c>
      <c r="BW80" s="30">
        <v>21</v>
      </c>
      <c r="BX80" s="4" t="s">
        <v>258</v>
      </c>
    </row>
    <row r="81" spans="1:11" ht="13.5" customHeight="1">
      <c r="A81" s="34"/>
      <c r="C81" s="35" t="s">
        <v>254</v>
      </c>
      <c r="D81" s="137" t="s">
        <v>259</v>
      </c>
      <c r="E81" s="138"/>
      <c r="F81" s="138"/>
      <c r="G81" s="138"/>
      <c r="H81" s="139"/>
      <c r="I81" s="138"/>
      <c r="J81" s="138"/>
      <c r="K81" s="140"/>
    </row>
    <row r="82" spans="1:76" ht="15">
      <c r="A82" s="2" t="s">
        <v>260</v>
      </c>
      <c r="B82" s="3" t="s">
        <v>49</v>
      </c>
      <c r="C82" s="3" t="s">
        <v>261</v>
      </c>
      <c r="D82" s="116" t="s">
        <v>262</v>
      </c>
      <c r="E82" s="111"/>
      <c r="F82" s="3" t="s">
        <v>56</v>
      </c>
      <c r="G82" s="30">
        <v>6.498</v>
      </c>
      <c r="H82" s="31">
        <v>0</v>
      </c>
      <c r="I82" s="30">
        <f>G82*H82</f>
        <v>0</v>
      </c>
      <c r="J82" s="30">
        <v>0.00158</v>
      </c>
      <c r="K82" s="32">
        <f>G82*J82</f>
        <v>0.010266840000000001</v>
      </c>
      <c r="Z82" s="30">
        <f>IF(AQ82="5",BJ82,0)</f>
        <v>0</v>
      </c>
      <c r="AB82" s="30">
        <f>IF(AQ82="1",BH82,0)</f>
        <v>0</v>
      </c>
      <c r="AC82" s="30">
        <f>IF(AQ82="1",BI82,0)</f>
        <v>0</v>
      </c>
      <c r="AD82" s="30">
        <f>IF(AQ82="7",BH82,0)</f>
        <v>0</v>
      </c>
      <c r="AE82" s="30">
        <f>IF(AQ82="7",BI82,0)</f>
        <v>0</v>
      </c>
      <c r="AF82" s="30">
        <f>IF(AQ82="2",BH82,0)</f>
        <v>0</v>
      </c>
      <c r="AG82" s="30">
        <f>IF(AQ82="2",BI82,0)</f>
        <v>0</v>
      </c>
      <c r="AH82" s="30">
        <f>IF(AQ82="0",BJ82,0)</f>
        <v>0</v>
      </c>
      <c r="AI82" s="10" t="s">
        <v>49</v>
      </c>
      <c r="AJ82" s="30">
        <f>IF(AN82=0,I82,0)</f>
        <v>0</v>
      </c>
      <c r="AK82" s="30">
        <f>IF(AN82=12,I82,0)</f>
        <v>0</v>
      </c>
      <c r="AL82" s="30">
        <f>IF(AN82=21,I82,0)</f>
        <v>0</v>
      </c>
      <c r="AN82" s="30">
        <v>21</v>
      </c>
      <c r="AO82" s="30">
        <f>H82*0.72559237</f>
        <v>0</v>
      </c>
      <c r="AP82" s="30">
        <f>H82*(1-0.72559237)</f>
        <v>0</v>
      </c>
      <c r="AQ82" s="33" t="s">
        <v>80</v>
      </c>
      <c r="AV82" s="30">
        <f>AW82+AX82</f>
        <v>0</v>
      </c>
      <c r="AW82" s="30">
        <f>G82*AO82</f>
        <v>0</v>
      </c>
      <c r="AX82" s="30">
        <f>G82*AP82</f>
        <v>0</v>
      </c>
      <c r="AY82" s="33" t="s">
        <v>252</v>
      </c>
      <c r="AZ82" s="33" t="s">
        <v>253</v>
      </c>
      <c r="BA82" s="10" t="s">
        <v>59</v>
      </c>
      <c r="BC82" s="30">
        <f>AW82+AX82</f>
        <v>0</v>
      </c>
      <c r="BD82" s="30">
        <f>H82/(100-BE82)*100</f>
        <v>0</v>
      </c>
      <c r="BE82" s="30">
        <v>0</v>
      </c>
      <c r="BF82" s="30">
        <f>K82</f>
        <v>0.010266840000000001</v>
      </c>
      <c r="BH82" s="30">
        <f>G82*AO82</f>
        <v>0</v>
      </c>
      <c r="BI82" s="30">
        <f>G82*AP82</f>
        <v>0</v>
      </c>
      <c r="BJ82" s="30">
        <f>G82*H82</f>
        <v>0</v>
      </c>
      <c r="BK82" s="30"/>
      <c r="BL82" s="30">
        <v>711</v>
      </c>
      <c r="BW82" s="30">
        <v>21</v>
      </c>
      <c r="BX82" s="4" t="s">
        <v>262</v>
      </c>
    </row>
    <row r="83" spans="1:11" ht="13.5" customHeight="1">
      <c r="A83" s="34"/>
      <c r="C83" s="35" t="s">
        <v>254</v>
      </c>
      <c r="D83" s="137" t="s">
        <v>263</v>
      </c>
      <c r="E83" s="138"/>
      <c r="F83" s="138"/>
      <c r="G83" s="138"/>
      <c r="H83" s="139"/>
      <c r="I83" s="138"/>
      <c r="J83" s="138"/>
      <c r="K83" s="140"/>
    </row>
    <row r="84" spans="1:76" ht="15">
      <c r="A84" s="2" t="s">
        <v>264</v>
      </c>
      <c r="B84" s="3" t="s">
        <v>49</v>
      </c>
      <c r="C84" s="3" t="s">
        <v>265</v>
      </c>
      <c r="D84" s="116" t="s">
        <v>266</v>
      </c>
      <c r="E84" s="111"/>
      <c r="F84" s="3" t="s">
        <v>179</v>
      </c>
      <c r="G84" s="30">
        <v>221.0872</v>
      </c>
      <c r="H84" s="31">
        <v>0</v>
      </c>
      <c r="I84" s="30">
        <f>G84*H84</f>
        <v>0</v>
      </c>
      <c r="J84" s="30">
        <v>0</v>
      </c>
      <c r="K84" s="32">
        <f>G84*J84</f>
        <v>0</v>
      </c>
      <c r="Z84" s="30">
        <f>IF(AQ84="5",BJ84,0)</f>
        <v>0</v>
      </c>
      <c r="AB84" s="30">
        <f>IF(AQ84="1",BH84,0)</f>
        <v>0</v>
      </c>
      <c r="AC84" s="30">
        <f>IF(AQ84="1",BI84,0)</f>
        <v>0</v>
      </c>
      <c r="AD84" s="30">
        <f>IF(AQ84="7",BH84,0)</f>
        <v>0</v>
      </c>
      <c r="AE84" s="30">
        <f>IF(AQ84="7",BI84,0)</f>
        <v>0</v>
      </c>
      <c r="AF84" s="30">
        <f>IF(AQ84="2",BH84,0)</f>
        <v>0</v>
      </c>
      <c r="AG84" s="30">
        <f>IF(AQ84="2",BI84,0)</f>
        <v>0</v>
      </c>
      <c r="AH84" s="30">
        <f>IF(AQ84="0",BJ84,0)</f>
        <v>0</v>
      </c>
      <c r="AI84" s="10" t="s">
        <v>49</v>
      </c>
      <c r="AJ84" s="30">
        <f>IF(AN84=0,I84,0)</f>
        <v>0</v>
      </c>
      <c r="AK84" s="30">
        <f>IF(AN84=12,I84,0)</f>
        <v>0</v>
      </c>
      <c r="AL84" s="30">
        <f>IF(AN84=21,I84,0)</f>
        <v>0</v>
      </c>
      <c r="AN84" s="30">
        <v>21</v>
      </c>
      <c r="AO84" s="30">
        <f>H84*0</f>
        <v>0</v>
      </c>
      <c r="AP84" s="30">
        <f>H84*(1-0)</f>
        <v>0</v>
      </c>
      <c r="AQ84" s="33" t="s">
        <v>72</v>
      </c>
      <c r="AV84" s="30">
        <f>AW84+AX84</f>
        <v>0</v>
      </c>
      <c r="AW84" s="30">
        <f>G84*AO84</f>
        <v>0</v>
      </c>
      <c r="AX84" s="30">
        <f>G84*AP84</f>
        <v>0</v>
      </c>
      <c r="AY84" s="33" t="s">
        <v>252</v>
      </c>
      <c r="AZ84" s="33" t="s">
        <v>253</v>
      </c>
      <c r="BA84" s="10" t="s">
        <v>59</v>
      </c>
      <c r="BC84" s="30">
        <f>AW84+AX84</f>
        <v>0</v>
      </c>
      <c r="BD84" s="30">
        <f>H84/(100-BE84)*100</f>
        <v>0</v>
      </c>
      <c r="BE84" s="30">
        <v>0</v>
      </c>
      <c r="BF84" s="30">
        <f>K84</f>
        <v>0</v>
      </c>
      <c r="BH84" s="30">
        <f>G84*AO84</f>
        <v>0</v>
      </c>
      <c r="BI84" s="30">
        <f>G84*AP84</f>
        <v>0</v>
      </c>
      <c r="BJ84" s="30">
        <f>G84*H84</f>
        <v>0</v>
      </c>
      <c r="BK84" s="30"/>
      <c r="BL84" s="30">
        <v>711</v>
      </c>
      <c r="BW84" s="30">
        <v>21</v>
      </c>
      <c r="BX84" s="4" t="s">
        <v>266</v>
      </c>
    </row>
    <row r="85" spans="1:47" ht="15">
      <c r="A85" s="25" t="s">
        <v>48</v>
      </c>
      <c r="B85" s="26" t="s">
        <v>49</v>
      </c>
      <c r="C85" s="26" t="s">
        <v>267</v>
      </c>
      <c r="D85" s="135" t="s">
        <v>268</v>
      </c>
      <c r="E85" s="136"/>
      <c r="F85" s="27" t="s">
        <v>4</v>
      </c>
      <c r="G85" s="27" t="s">
        <v>4</v>
      </c>
      <c r="H85" s="28" t="s">
        <v>4</v>
      </c>
      <c r="I85" s="1">
        <f>SUM(I86:I86)</f>
        <v>0</v>
      </c>
      <c r="J85" s="10" t="s">
        <v>48</v>
      </c>
      <c r="K85" s="29">
        <f>SUM(K86:K86)</f>
        <v>0.21132</v>
      </c>
      <c r="AI85" s="10" t="s">
        <v>49</v>
      </c>
      <c r="AS85" s="1">
        <f>SUM(AJ86:AJ86)</f>
        <v>0</v>
      </c>
      <c r="AT85" s="1">
        <f>SUM(AK86:AK86)</f>
        <v>0</v>
      </c>
      <c r="AU85" s="1">
        <f>SUM(AL86:AL86)</f>
        <v>0</v>
      </c>
    </row>
    <row r="86" spans="1:76" ht="15">
      <c r="A86" s="2" t="s">
        <v>212</v>
      </c>
      <c r="B86" s="3" t="s">
        <v>49</v>
      </c>
      <c r="C86" s="3" t="s">
        <v>269</v>
      </c>
      <c r="D86" s="116" t="s">
        <v>270</v>
      </c>
      <c r="E86" s="111"/>
      <c r="F86" s="3" t="s">
        <v>135</v>
      </c>
      <c r="G86" s="30">
        <v>6</v>
      </c>
      <c r="H86" s="31">
        <v>0</v>
      </c>
      <c r="I86" s="30">
        <f>G86*H86</f>
        <v>0</v>
      </c>
      <c r="J86" s="30">
        <v>0.03522</v>
      </c>
      <c r="K86" s="32">
        <f>G86*J86</f>
        <v>0.21132</v>
      </c>
      <c r="Z86" s="30">
        <f>IF(AQ86="5",BJ86,0)</f>
        <v>0</v>
      </c>
      <c r="AB86" s="30">
        <f>IF(AQ86="1",BH86,0)</f>
        <v>0</v>
      </c>
      <c r="AC86" s="30">
        <f>IF(AQ86="1",BI86,0)</f>
        <v>0</v>
      </c>
      <c r="AD86" s="30">
        <f>IF(AQ86="7",BH86,0)</f>
        <v>0</v>
      </c>
      <c r="AE86" s="30">
        <f>IF(AQ86="7",BI86,0)</f>
        <v>0</v>
      </c>
      <c r="AF86" s="30">
        <f>IF(AQ86="2",BH86,0)</f>
        <v>0</v>
      </c>
      <c r="AG86" s="30">
        <f>IF(AQ86="2",BI86,0)</f>
        <v>0</v>
      </c>
      <c r="AH86" s="30">
        <f>IF(AQ86="0",BJ86,0)</f>
        <v>0</v>
      </c>
      <c r="AI86" s="10" t="s">
        <v>49</v>
      </c>
      <c r="AJ86" s="30">
        <f>IF(AN86=0,I86,0)</f>
        <v>0</v>
      </c>
      <c r="AK86" s="30">
        <f>IF(AN86=12,I86,0)</f>
        <v>0</v>
      </c>
      <c r="AL86" s="30">
        <f>IF(AN86=21,I86,0)</f>
        <v>0</v>
      </c>
      <c r="AN86" s="30">
        <v>21</v>
      </c>
      <c r="AO86" s="30">
        <f>H86*0</f>
        <v>0</v>
      </c>
      <c r="AP86" s="30">
        <f>H86*(1-0)</f>
        <v>0</v>
      </c>
      <c r="AQ86" s="33" t="s">
        <v>80</v>
      </c>
      <c r="AV86" s="30">
        <f>AW86+AX86</f>
        <v>0</v>
      </c>
      <c r="AW86" s="30">
        <f>G86*AO86</f>
        <v>0</v>
      </c>
      <c r="AX86" s="30">
        <f>G86*AP86</f>
        <v>0</v>
      </c>
      <c r="AY86" s="33" t="s">
        <v>271</v>
      </c>
      <c r="AZ86" s="33" t="s">
        <v>272</v>
      </c>
      <c r="BA86" s="10" t="s">
        <v>59</v>
      </c>
      <c r="BC86" s="30">
        <f>AW86+AX86</f>
        <v>0</v>
      </c>
      <c r="BD86" s="30">
        <f>H86/(100-BE86)*100</f>
        <v>0</v>
      </c>
      <c r="BE86" s="30">
        <v>0</v>
      </c>
      <c r="BF86" s="30">
        <f>K86</f>
        <v>0.21132</v>
      </c>
      <c r="BH86" s="30">
        <f>G86*AO86</f>
        <v>0</v>
      </c>
      <c r="BI86" s="30">
        <f>G86*AP86</f>
        <v>0</v>
      </c>
      <c r="BJ86" s="30">
        <f>G86*H86</f>
        <v>0</v>
      </c>
      <c r="BK86" s="30"/>
      <c r="BL86" s="30">
        <v>721</v>
      </c>
      <c r="BW86" s="30">
        <v>21</v>
      </c>
      <c r="BX86" s="4" t="s">
        <v>270</v>
      </c>
    </row>
    <row r="87" spans="1:11" ht="13.5" customHeight="1">
      <c r="A87" s="34"/>
      <c r="C87" s="35" t="s">
        <v>231</v>
      </c>
      <c r="D87" s="137" t="s">
        <v>273</v>
      </c>
      <c r="E87" s="138"/>
      <c r="F87" s="138"/>
      <c r="G87" s="138"/>
      <c r="H87" s="139"/>
      <c r="I87" s="138"/>
      <c r="J87" s="138"/>
      <c r="K87" s="140"/>
    </row>
    <row r="88" spans="1:47" ht="15">
      <c r="A88" s="25" t="s">
        <v>48</v>
      </c>
      <c r="B88" s="26" t="s">
        <v>49</v>
      </c>
      <c r="C88" s="26" t="s">
        <v>274</v>
      </c>
      <c r="D88" s="135" t="s">
        <v>275</v>
      </c>
      <c r="E88" s="136"/>
      <c r="F88" s="27" t="s">
        <v>4</v>
      </c>
      <c r="G88" s="27" t="s">
        <v>4</v>
      </c>
      <c r="H88" s="28" t="s">
        <v>4</v>
      </c>
      <c r="I88" s="1">
        <f>SUM(I89:I93)</f>
        <v>0</v>
      </c>
      <c r="J88" s="10" t="s">
        <v>48</v>
      </c>
      <c r="K88" s="29">
        <f>SUM(K89:K93)</f>
        <v>0.04257</v>
      </c>
      <c r="AI88" s="10" t="s">
        <v>49</v>
      </c>
      <c r="AS88" s="1">
        <f>SUM(AJ89:AJ93)</f>
        <v>0</v>
      </c>
      <c r="AT88" s="1">
        <f>SUM(AK89:AK93)</f>
        <v>0</v>
      </c>
      <c r="AU88" s="1">
        <f>SUM(AL89:AL93)</f>
        <v>0</v>
      </c>
    </row>
    <row r="89" spans="1:76" ht="15">
      <c r="A89" s="2" t="s">
        <v>276</v>
      </c>
      <c r="B89" s="3" t="s">
        <v>49</v>
      </c>
      <c r="C89" s="3" t="s">
        <v>277</v>
      </c>
      <c r="D89" s="116" t="s">
        <v>278</v>
      </c>
      <c r="E89" s="111"/>
      <c r="F89" s="3" t="s">
        <v>131</v>
      </c>
      <c r="G89" s="30">
        <v>40</v>
      </c>
      <c r="H89" s="31">
        <v>0</v>
      </c>
      <c r="I89" s="30">
        <f>G89*H89</f>
        <v>0</v>
      </c>
      <c r="J89" s="30">
        <v>0.00106</v>
      </c>
      <c r="K89" s="32">
        <f>G89*J89</f>
        <v>0.0424</v>
      </c>
      <c r="Z89" s="30">
        <f>IF(AQ89="5",BJ89,0)</f>
        <v>0</v>
      </c>
      <c r="AB89" s="30">
        <f>IF(AQ89="1",BH89,0)</f>
        <v>0</v>
      </c>
      <c r="AC89" s="30">
        <f>IF(AQ89="1",BI89,0)</f>
        <v>0</v>
      </c>
      <c r="AD89" s="30">
        <f>IF(AQ89="7",BH89,0)</f>
        <v>0</v>
      </c>
      <c r="AE89" s="30">
        <f>IF(AQ89="7",BI89,0)</f>
        <v>0</v>
      </c>
      <c r="AF89" s="30">
        <f>IF(AQ89="2",BH89,0)</f>
        <v>0</v>
      </c>
      <c r="AG89" s="30">
        <f>IF(AQ89="2",BI89,0)</f>
        <v>0</v>
      </c>
      <c r="AH89" s="30">
        <f>IF(AQ89="0",BJ89,0)</f>
        <v>0</v>
      </c>
      <c r="AI89" s="10" t="s">
        <v>49</v>
      </c>
      <c r="AJ89" s="30">
        <f>IF(AN89=0,I89,0)</f>
        <v>0</v>
      </c>
      <c r="AK89" s="30">
        <f>IF(AN89=12,I89,0)</f>
        <v>0</v>
      </c>
      <c r="AL89" s="30">
        <f>IF(AN89=21,I89,0)</f>
        <v>0</v>
      </c>
      <c r="AN89" s="30">
        <v>21</v>
      </c>
      <c r="AO89" s="30">
        <f>H89*0.349254427</f>
        <v>0</v>
      </c>
      <c r="AP89" s="30">
        <f>H89*(1-0.349254427)</f>
        <v>0</v>
      </c>
      <c r="AQ89" s="33" t="s">
        <v>80</v>
      </c>
      <c r="AV89" s="30">
        <f>AW89+AX89</f>
        <v>0</v>
      </c>
      <c r="AW89" s="30">
        <f>G89*AO89</f>
        <v>0</v>
      </c>
      <c r="AX89" s="30">
        <f>G89*AP89</f>
        <v>0</v>
      </c>
      <c r="AY89" s="33" t="s">
        <v>279</v>
      </c>
      <c r="AZ89" s="33" t="s">
        <v>280</v>
      </c>
      <c r="BA89" s="10" t="s">
        <v>59</v>
      </c>
      <c r="BC89" s="30">
        <f>AW89+AX89</f>
        <v>0</v>
      </c>
      <c r="BD89" s="30">
        <f>H89/(100-BE89)*100</f>
        <v>0</v>
      </c>
      <c r="BE89" s="30">
        <v>0</v>
      </c>
      <c r="BF89" s="30">
        <f>K89</f>
        <v>0.0424</v>
      </c>
      <c r="BH89" s="30">
        <f>G89*AO89</f>
        <v>0</v>
      </c>
      <c r="BI89" s="30">
        <f>G89*AP89</f>
        <v>0</v>
      </c>
      <c r="BJ89" s="30">
        <f>G89*H89</f>
        <v>0</v>
      </c>
      <c r="BK89" s="30"/>
      <c r="BL89" s="30">
        <v>767</v>
      </c>
      <c r="BW89" s="30">
        <v>21</v>
      </c>
      <c r="BX89" s="4" t="s">
        <v>278</v>
      </c>
    </row>
    <row r="90" spans="1:11" ht="13.5" customHeight="1">
      <c r="A90" s="34"/>
      <c r="C90" s="35" t="s">
        <v>254</v>
      </c>
      <c r="D90" s="137" t="s">
        <v>281</v>
      </c>
      <c r="E90" s="138"/>
      <c r="F90" s="138"/>
      <c r="G90" s="138"/>
      <c r="H90" s="139"/>
      <c r="I90" s="138"/>
      <c r="J90" s="138"/>
      <c r="K90" s="140"/>
    </row>
    <row r="91" spans="1:76" ht="15">
      <c r="A91" s="2" t="s">
        <v>282</v>
      </c>
      <c r="B91" s="3" t="s">
        <v>49</v>
      </c>
      <c r="C91" s="3" t="s">
        <v>283</v>
      </c>
      <c r="D91" s="116" t="s">
        <v>284</v>
      </c>
      <c r="E91" s="111"/>
      <c r="F91" s="3" t="s">
        <v>285</v>
      </c>
      <c r="G91" s="30">
        <v>1</v>
      </c>
      <c r="H91" s="31">
        <v>0</v>
      </c>
      <c r="I91" s="30">
        <f>G91*H91</f>
        <v>0</v>
      </c>
      <c r="J91" s="30">
        <v>0.00017</v>
      </c>
      <c r="K91" s="32">
        <f>G91*J91</f>
        <v>0.00017</v>
      </c>
      <c r="Z91" s="30">
        <f>IF(AQ91="5",BJ91,0)</f>
        <v>0</v>
      </c>
      <c r="AB91" s="30">
        <f>IF(AQ91="1",BH91,0)</f>
        <v>0</v>
      </c>
      <c r="AC91" s="30">
        <f>IF(AQ91="1",BI91,0)</f>
        <v>0</v>
      </c>
      <c r="AD91" s="30">
        <f>IF(AQ91="7",BH91,0)</f>
        <v>0</v>
      </c>
      <c r="AE91" s="30">
        <f>IF(AQ91="7",BI91,0)</f>
        <v>0</v>
      </c>
      <c r="AF91" s="30">
        <f>IF(AQ91="2",BH91,0)</f>
        <v>0</v>
      </c>
      <c r="AG91" s="30">
        <f>IF(AQ91="2",BI91,0)</f>
        <v>0</v>
      </c>
      <c r="AH91" s="30">
        <f>IF(AQ91="0",BJ91,0)</f>
        <v>0</v>
      </c>
      <c r="AI91" s="10" t="s">
        <v>49</v>
      </c>
      <c r="AJ91" s="30">
        <f>IF(AN91=0,I91,0)</f>
        <v>0</v>
      </c>
      <c r="AK91" s="30">
        <f>IF(AN91=12,I91,0)</f>
        <v>0</v>
      </c>
      <c r="AL91" s="30">
        <f>IF(AN91=21,I91,0)</f>
        <v>0</v>
      </c>
      <c r="AN91" s="30">
        <v>21</v>
      </c>
      <c r="AO91" s="30">
        <f>H91*0.121479027</f>
        <v>0</v>
      </c>
      <c r="AP91" s="30">
        <f>H91*(1-0.121479027)</f>
        <v>0</v>
      </c>
      <c r="AQ91" s="33" t="s">
        <v>80</v>
      </c>
      <c r="AV91" s="30">
        <f>AW91+AX91</f>
        <v>0</v>
      </c>
      <c r="AW91" s="30">
        <f>G91*AO91</f>
        <v>0</v>
      </c>
      <c r="AX91" s="30">
        <f>G91*AP91</f>
        <v>0</v>
      </c>
      <c r="AY91" s="33" t="s">
        <v>279</v>
      </c>
      <c r="AZ91" s="33" t="s">
        <v>280</v>
      </c>
      <c r="BA91" s="10" t="s">
        <v>59</v>
      </c>
      <c r="BC91" s="30">
        <f>AW91+AX91</f>
        <v>0</v>
      </c>
      <c r="BD91" s="30">
        <f>H91/(100-BE91)*100</f>
        <v>0</v>
      </c>
      <c r="BE91" s="30">
        <v>0</v>
      </c>
      <c r="BF91" s="30">
        <f>K91</f>
        <v>0.00017</v>
      </c>
      <c r="BH91" s="30">
        <f>G91*AO91</f>
        <v>0</v>
      </c>
      <c r="BI91" s="30">
        <f>G91*AP91</f>
        <v>0</v>
      </c>
      <c r="BJ91" s="30">
        <f>G91*H91</f>
        <v>0</v>
      </c>
      <c r="BK91" s="30"/>
      <c r="BL91" s="30">
        <v>767</v>
      </c>
      <c r="BW91" s="30">
        <v>21</v>
      </c>
      <c r="BX91" s="4" t="s">
        <v>284</v>
      </c>
    </row>
    <row r="92" spans="1:11" ht="189" customHeight="1">
      <c r="A92" s="34"/>
      <c r="C92" s="35" t="s">
        <v>231</v>
      </c>
      <c r="D92" s="137" t="s">
        <v>286</v>
      </c>
      <c r="E92" s="138"/>
      <c r="F92" s="138"/>
      <c r="G92" s="138"/>
      <c r="H92" s="139"/>
      <c r="I92" s="138"/>
      <c r="J92" s="138"/>
      <c r="K92" s="140"/>
    </row>
    <row r="93" spans="1:76" ht="15">
      <c r="A93" s="2" t="s">
        <v>219</v>
      </c>
      <c r="B93" s="3" t="s">
        <v>49</v>
      </c>
      <c r="C93" s="3" t="s">
        <v>287</v>
      </c>
      <c r="D93" s="116" t="s">
        <v>288</v>
      </c>
      <c r="E93" s="111"/>
      <c r="F93" s="3" t="s">
        <v>179</v>
      </c>
      <c r="G93" s="30">
        <v>2997.168</v>
      </c>
      <c r="H93" s="31">
        <v>0</v>
      </c>
      <c r="I93" s="30">
        <f>G93*H93</f>
        <v>0</v>
      </c>
      <c r="J93" s="30">
        <v>0</v>
      </c>
      <c r="K93" s="32">
        <f>G93*J93</f>
        <v>0</v>
      </c>
      <c r="Z93" s="30">
        <f>IF(AQ93="5",BJ93,0)</f>
        <v>0</v>
      </c>
      <c r="AB93" s="30">
        <f>IF(AQ93="1",BH93,0)</f>
        <v>0</v>
      </c>
      <c r="AC93" s="30">
        <f>IF(AQ93="1",BI93,0)</f>
        <v>0</v>
      </c>
      <c r="AD93" s="30">
        <f>IF(AQ93="7",BH93,0)</f>
        <v>0</v>
      </c>
      <c r="AE93" s="30">
        <f>IF(AQ93="7",BI93,0)</f>
        <v>0</v>
      </c>
      <c r="AF93" s="30">
        <f>IF(AQ93="2",BH93,0)</f>
        <v>0</v>
      </c>
      <c r="AG93" s="30">
        <f>IF(AQ93="2",BI93,0)</f>
        <v>0</v>
      </c>
      <c r="AH93" s="30">
        <f>IF(AQ93="0",BJ93,0)</f>
        <v>0</v>
      </c>
      <c r="AI93" s="10" t="s">
        <v>49</v>
      </c>
      <c r="AJ93" s="30">
        <f>IF(AN93=0,I93,0)</f>
        <v>0</v>
      </c>
      <c r="AK93" s="30">
        <f>IF(AN93=12,I93,0)</f>
        <v>0</v>
      </c>
      <c r="AL93" s="30">
        <f>IF(AN93=21,I93,0)</f>
        <v>0</v>
      </c>
      <c r="AN93" s="30">
        <v>21</v>
      </c>
      <c r="AO93" s="30">
        <f>H93*0</f>
        <v>0</v>
      </c>
      <c r="AP93" s="30">
        <f>H93*(1-0)</f>
        <v>0</v>
      </c>
      <c r="AQ93" s="33" t="s">
        <v>72</v>
      </c>
      <c r="AV93" s="30">
        <f>AW93+AX93</f>
        <v>0</v>
      </c>
      <c r="AW93" s="30">
        <f>G93*AO93</f>
        <v>0</v>
      </c>
      <c r="AX93" s="30">
        <f>G93*AP93</f>
        <v>0</v>
      </c>
      <c r="AY93" s="33" t="s">
        <v>279</v>
      </c>
      <c r="AZ93" s="33" t="s">
        <v>280</v>
      </c>
      <c r="BA93" s="10" t="s">
        <v>59</v>
      </c>
      <c r="BC93" s="30">
        <f>AW93+AX93</f>
        <v>0</v>
      </c>
      <c r="BD93" s="30">
        <f>H93/(100-BE93)*100</f>
        <v>0</v>
      </c>
      <c r="BE93" s="30">
        <v>0</v>
      </c>
      <c r="BF93" s="30">
        <f>K93</f>
        <v>0</v>
      </c>
      <c r="BH93" s="30">
        <f>G93*AO93</f>
        <v>0</v>
      </c>
      <c r="BI93" s="30">
        <f>G93*AP93</f>
        <v>0</v>
      </c>
      <c r="BJ93" s="30">
        <f>G93*H93</f>
        <v>0</v>
      </c>
      <c r="BK93" s="30"/>
      <c r="BL93" s="30">
        <v>767</v>
      </c>
      <c r="BW93" s="30">
        <v>21</v>
      </c>
      <c r="BX93" s="4" t="s">
        <v>288</v>
      </c>
    </row>
    <row r="94" spans="1:47" ht="15">
      <c r="A94" s="25" t="s">
        <v>48</v>
      </c>
      <c r="B94" s="26" t="s">
        <v>49</v>
      </c>
      <c r="C94" s="26" t="s">
        <v>289</v>
      </c>
      <c r="D94" s="135" t="s">
        <v>290</v>
      </c>
      <c r="E94" s="136"/>
      <c r="F94" s="27" t="s">
        <v>4</v>
      </c>
      <c r="G94" s="27" t="s">
        <v>4</v>
      </c>
      <c r="H94" s="28" t="s">
        <v>4</v>
      </c>
      <c r="I94" s="1">
        <f>SUM(I95:I104)</f>
        <v>0</v>
      </c>
      <c r="J94" s="10" t="s">
        <v>48</v>
      </c>
      <c r="K94" s="29">
        <f>SUM(K95:K104)</f>
        <v>0.9504242864999999</v>
      </c>
      <c r="AI94" s="10" t="s">
        <v>49</v>
      </c>
      <c r="AS94" s="1">
        <f>SUM(AJ95:AJ104)</f>
        <v>0</v>
      </c>
      <c r="AT94" s="1">
        <f>SUM(AK95:AK104)</f>
        <v>0</v>
      </c>
      <c r="AU94" s="1">
        <f>SUM(AL95:AL104)</f>
        <v>0</v>
      </c>
    </row>
    <row r="95" spans="1:76" ht="15">
      <c r="A95" s="2" t="s">
        <v>291</v>
      </c>
      <c r="B95" s="3" t="s">
        <v>49</v>
      </c>
      <c r="C95" s="3" t="s">
        <v>292</v>
      </c>
      <c r="D95" s="116" t="s">
        <v>293</v>
      </c>
      <c r="E95" s="111"/>
      <c r="F95" s="3" t="s">
        <v>56</v>
      </c>
      <c r="G95" s="30">
        <v>9.172</v>
      </c>
      <c r="H95" s="31">
        <v>0</v>
      </c>
      <c r="I95" s="30">
        <f aca="true" t="shared" si="24" ref="I95:I104">G95*H95</f>
        <v>0</v>
      </c>
      <c r="J95" s="30">
        <v>0.087</v>
      </c>
      <c r="K95" s="32">
        <f aca="true" t="shared" si="25" ref="K95:K104">G95*J95</f>
        <v>0.797964</v>
      </c>
      <c r="Z95" s="30">
        <f aca="true" t="shared" si="26" ref="Z95:Z104">IF(AQ95="5",BJ95,0)</f>
        <v>0</v>
      </c>
      <c r="AB95" s="30">
        <f aca="true" t="shared" si="27" ref="AB95:AB104">IF(AQ95="1",BH95,0)</f>
        <v>0</v>
      </c>
      <c r="AC95" s="30">
        <f aca="true" t="shared" si="28" ref="AC95:AC104">IF(AQ95="1",BI95,0)</f>
        <v>0</v>
      </c>
      <c r="AD95" s="30">
        <f aca="true" t="shared" si="29" ref="AD95:AD104">IF(AQ95="7",BH95,0)</f>
        <v>0</v>
      </c>
      <c r="AE95" s="30">
        <f aca="true" t="shared" si="30" ref="AE95:AE104">IF(AQ95="7",BI95,0)</f>
        <v>0</v>
      </c>
      <c r="AF95" s="30">
        <f aca="true" t="shared" si="31" ref="AF95:AF104">IF(AQ95="2",BH95,0)</f>
        <v>0</v>
      </c>
      <c r="AG95" s="30">
        <f aca="true" t="shared" si="32" ref="AG95:AG104">IF(AQ95="2",BI95,0)</f>
        <v>0</v>
      </c>
      <c r="AH95" s="30">
        <f aca="true" t="shared" si="33" ref="AH95:AH104">IF(AQ95="0",BJ95,0)</f>
        <v>0</v>
      </c>
      <c r="AI95" s="10" t="s">
        <v>49</v>
      </c>
      <c r="AJ95" s="30">
        <f aca="true" t="shared" si="34" ref="AJ95:AJ104">IF(AN95=0,I95,0)</f>
        <v>0</v>
      </c>
      <c r="AK95" s="30">
        <f aca="true" t="shared" si="35" ref="AK95:AK104">IF(AN95=12,I95,0)</f>
        <v>0</v>
      </c>
      <c r="AL95" s="30">
        <f aca="true" t="shared" si="36" ref="AL95:AL104">IF(AN95=21,I95,0)</f>
        <v>0</v>
      </c>
      <c r="AN95" s="30">
        <v>21</v>
      </c>
      <c r="AO95" s="30">
        <f>H95*0</f>
        <v>0</v>
      </c>
      <c r="AP95" s="30">
        <f>H95*(1-0)</f>
        <v>0</v>
      </c>
      <c r="AQ95" s="33" t="s">
        <v>80</v>
      </c>
      <c r="AV95" s="30">
        <f aca="true" t="shared" si="37" ref="AV95:AV104">AW95+AX95</f>
        <v>0</v>
      </c>
      <c r="AW95" s="30">
        <f aca="true" t="shared" si="38" ref="AW95:AW104">G95*AO95</f>
        <v>0</v>
      </c>
      <c r="AX95" s="30">
        <f aca="true" t="shared" si="39" ref="AX95:AX104">G95*AP95</f>
        <v>0</v>
      </c>
      <c r="AY95" s="33" t="s">
        <v>294</v>
      </c>
      <c r="AZ95" s="33" t="s">
        <v>295</v>
      </c>
      <c r="BA95" s="10" t="s">
        <v>59</v>
      </c>
      <c r="BC95" s="30">
        <f aca="true" t="shared" si="40" ref="BC95:BC104">AW95+AX95</f>
        <v>0</v>
      </c>
      <c r="BD95" s="30">
        <f aca="true" t="shared" si="41" ref="BD95:BD104">H95/(100-BE95)*100</f>
        <v>0</v>
      </c>
      <c r="BE95" s="30">
        <v>0</v>
      </c>
      <c r="BF95" s="30">
        <f aca="true" t="shared" si="42" ref="BF95:BF104">K95</f>
        <v>0.797964</v>
      </c>
      <c r="BH95" s="30">
        <f aca="true" t="shared" si="43" ref="BH95:BH104">G95*AO95</f>
        <v>0</v>
      </c>
      <c r="BI95" s="30">
        <f aca="true" t="shared" si="44" ref="BI95:BI104">G95*AP95</f>
        <v>0</v>
      </c>
      <c r="BJ95" s="30">
        <f aca="true" t="shared" si="45" ref="BJ95:BJ104">G95*H95</f>
        <v>0</v>
      </c>
      <c r="BK95" s="30"/>
      <c r="BL95" s="30">
        <v>771</v>
      </c>
      <c r="BW95" s="30">
        <v>21</v>
      </c>
      <c r="BX95" s="4" t="s">
        <v>293</v>
      </c>
    </row>
    <row r="96" spans="1:76" ht="15">
      <c r="A96" s="2" t="s">
        <v>296</v>
      </c>
      <c r="B96" s="3" t="s">
        <v>49</v>
      </c>
      <c r="C96" s="3" t="s">
        <v>297</v>
      </c>
      <c r="D96" s="116" t="s">
        <v>298</v>
      </c>
      <c r="E96" s="111"/>
      <c r="F96" s="3" t="s">
        <v>56</v>
      </c>
      <c r="G96" s="30">
        <v>6.498</v>
      </c>
      <c r="H96" s="31">
        <v>0</v>
      </c>
      <c r="I96" s="30">
        <f t="shared" si="24"/>
        <v>0</v>
      </c>
      <c r="J96" s="30">
        <v>0.00021</v>
      </c>
      <c r="K96" s="32">
        <f t="shared" si="25"/>
        <v>0.00136458</v>
      </c>
      <c r="Z96" s="30">
        <f t="shared" si="26"/>
        <v>0</v>
      </c>
      <c r="AB96" s="30">
        <f t="shared" si="27"/>
        <v>0</v>
      </c>
      <c r="AC96" s="30">
        <f t="shared" si="28"/>
        <v>0</v>
      </c>
      <c r="AD96" s="30">
        <f t="shared" si="29"/>
        <v>0</v>
      </c>
      <c r="AE96" s="30">
        <f t="shared" si="30"/>
        <v>0</v>
      </c>
      <c r="AF96" s="30">
        <f t="shared" si="31"/>
        <v>0</v>
      </c>
      <c r="AG96" s="30">
        <f t="shared" si="32"/>
        <v>0</v>
      </c>
      <c r="AH96" s="30">
        <f t="shared" si="33"/>
        <v>0</v>
      </c>
      <c r="AI96" s="10" t="s">
        <v>49</v>
      </c>
      <c r="AJ96" s="30">
        <f t="shared" si="34"/>
        <v>0</v>
      </c>
      <c r="AK96" s="30">
        <f t="shared" si="35"/>
        <v>0</v>
      </c>
      <c r="AL96" s="30">
        <f t="shared" si="36"/>
        <v>0</v>
      </c>
      <c r="AN96" s="30">
        <v>21</v>
      </c>
      <c r="AO96" s="30">
        <f>H96*0.472428074</f>
        <v>0</v>
      </c>
      <c r="AP96" s="30">
        <f>H96*(1-0.472428074)</f>
        <v>0</v>
      </c>
      <c r="AQ96" s="33" t="s">
        <v>80</v>
      </c>
      <c r="AV96" s="30">
        <f t="shared" si="37"/>
        <v>0</v>
      </c>
      <c r="AW96" s="30">
        <f t="shared" si="38"/>
        <v>0</v>
      </c>
      <c r="AX96" s="30">
        <f t="shared" si="39"/>
        <v>0</v>
      </c>
      <c r="AY96" s="33" t="s">
        <v>294</v>
      </c>
      <c r="AZ96" s="33" t="s">
        <v>295</v>
      </c>
      <c r="BA96" s="10" t="s">
        <v>59</v>
      </c>
      <c r="BC96" s="30">
        <f t="shared" si="40"/>
        <v>0</v>
      </c>
      <c r="BD96" s="30">
        <f t="shared" si="41"/>
        <v>0</v>
      </c>
      <c r="BE96" s="30">
        <v>0</v>
      </c>
      <c r="BF96" s="30">
        <f t="shared" si="42"/>
        <v>0.00136458</v>
      </c>
      <c r="BH96" s="30">
        <f t="shared" si="43"/>
        <v>0</v>
      </c>
      <c r="BI96" s="30">
        <f t="shared" si="44"/>
        <v>0</v>
      </c>
      <c r="BJ96" s="30">
        <f t="shared" si="45"/>
        <v>0</v>
      </c>
      <c r="BK96" s="30"/>
      <c r="BL96" s="30">
        <v>771</v>
      </c>
      <c r="BW96" s="30">
        <v>21</v>
      </c>
      <c r="BX96" s="4" t="s">
        <v>298</v>
      </c>
    </row>
    <row r="97" spans="1:76" ht="15">
      <c r="A97" s="2" t="s">
        <v>233</v>
      </c>
      <c r="B97" s="3" t="s">
        <v>49</v>
      </c>
      <c r="C97" s="3" t="s">
        <v>299</v>
      </c>
      <c r="D97" s="116" t="s">
        <v>300</v>
      </c>
      <c r="E97" s="111"/>
      <c r="F97" s="3" t="s">
        <v>56</v>
      </c>
      <c r="G97" s="30">
        <v>6.498</v>
      </c>
      <c r="H97" s="31">
        <v>0</v>
      </c>
      <c r="I97" s="30">
        <f t="shared" si="24"/>
        <v>0</v>
      </c>
      <c r="J97" s="30">
        <v>0</v>
      </c>
      <c r="K97" s="32">
        <f t="shared" si="25"/>
        <v>0</v>
      </c>
      <c r="Z97" s="30">
        <f t="shared" si="26"/>
        <v>0</v>
      </c>
      <c r="AB97" s="30">
        <f t="shared" si="27"/>
        <v>0</v>
      </c>
      <c r="AC97" s="30">
        <f t="shared" si="28"/>
        <v>0</v>
      </c>
      <c r="AD97" s="30">
        <f t="shared" si="29"/>
        <v>0</v>
      </c>
      <c r="AE97" s="30">
        <f t="shared" si="30"/>
        <v>0</v>
      </c>
      <c r="AF97" s="30">
        <f t="shared" si="31"/>
        <v>0</v>
      </c>
      <c r="AG97" s="30">
        <f t="shared" si="32"/>
        <v>0</v>
      </c>
      <c r="AH97" s="30">
        <f t="shared" si="33"/>
        <v>0</v>
      </c>
      <c r="AI97" s="10" t="s">
        <v>49</v>
      </c>
      <c r="AJ97" s="30">
        <f t="shared" si="34"/>
        <v>0</v>
      </c>
      <c r="AK97" s="30">
        <f t="shared" si="35"/>
        <v>0</v>
      </c>
      <c r="AL97" s="30">
        <f t="shared" si="36"/>
        <v>0</v>
      </c>
      <c r="AN97" s="30">
        <v>21</v>
      </c>
      <c r="AO97" s="30">
        <f>H97*0</f>
        <v>0</v>
      </c>
      <c r="AP97" s="30">
        <f>H97*(1-0)</f>
        <v>0</v>
      </c>
      <c r="AQ97" s="33" t="s">
        <v>80</v>
      </c>
      <c r="AV97" s="30">
        <f t="shared" si="37"/>
        <v>0</v>
      </c>
      <c r="AW97" s="30">
        <f t="shared" si="38"/>
        <v>0</v>
      </c>
      <c r="AX97" s="30">
        <f t="shared" si="39"/>
        <v>0</v>
      </c>
      <c r="AY97" s="33" t="s">
        <v>294</v>
      </c>
      <c r="AZ97" s="33" t="s">
        <v>295</v>
      </c>
      <c r="BA97" s="10" t="s">
        <v>59</v>
      </c>
      <c r="BC97" s="30">
        <f t="shared" si="40"/>
        <v>0</v>
      </c>
      <c r="BD97" s="30">
        <f t="shared" si="41"/>
        <v>0</v>
      </c>
      <c r="BE97" s="30">
        <v>0</v>
      </c>
      <c r="BF97" s="30">
        <f t="shared" si="42"/>
        <v>0</v>
      </c>
      <c r="BH97" s="30">
        <f t="shared" si="43"/>
        <v>0</v>
      </c>
      <c r="BI97" s="30">
        <f t="shared" si="44"/>
        <v>0</v>
      </c>
      <c r="BJ97" s="30">
        <f t="shared" si="45"/>
        <v>0</v>
      </c>
      <c r="BK97" s="30"/>
      <c r="BL97" s="30">
        <v>771</v>
      </c>
      <c r="BW97" s="30">
        <v>21</v>
      </c>
      <c r="BX97" s="4" t="s">
        <v>300</v>
      </c>
    </row>
    <row r="98" spans="1:76" ht="15">
      <c r="A98" s="2" t="s">
        <v>240</v>
      </c>
      <c r="B98" s="3" t="s">
        <v>49</v>
      </c>
      <c r="C98" s="3" t="s">
        <v>301</v>
      </c>
      <c r="D98" s="116" t="s">
        <v>302</v>
      </c>
      <c r="E98" s="111"/>
      <c r="F98" s="3" t="s">
        <v>56</v>
      </c>
      <c r="G98" s="30">
        <v>6.498</v>
      </c>
      <c r="H98" s="31">
        <v>0</v>
      </c>
      <c r="I98" s="30">
        <f t="shared" si="24"/>
        <v>0</v>
      </c>
      <c r="J98" s="30">
        <v>0</v>
      </c>
      <c r="K98" s="32">
        <f t="shared" si="25"/>
        <v>0</v>
      </c>
      <c r="Z98" s="30">
        <f t="shared" si="26"/>
        <v>0</v>
      </c>
      <c r="AB98" s="30">
        <f t="shared" si="27"/>
        <v>0</v>
      </c>
      <c r="AC98" s="30">
        <f t="shared" si="28"/>
        <v>0</v>
      </c>
      <c r="AD98" s="30">
        <f t="shared" si="29"/>
        <v>0</v>
      </c>
      <c r="AE98" s="30">
        <f t="shared" si="30"/>
        <v>0</v>
      </c>
      <c r="AF98" s="30">
        <f t="shared" si="31"/>
        <v>0</v>
      </c>
      <c r="AG98" s="30">
        <f t="shared" si="32"/>
        <v>0</v>
      </c>
      <c r="AH98" s="30">
        <f t="shared" si="33"/>
        <v>0</v>
      </c>
      <c r="AI98" s="10" t="s">
        <v>49</v>
      </c>
      <c r="AJ98" s="30">
        <f t="shared" si="34"/>
        <v>0</v>
      </c>
      <c r="AK98" s="30">
        <f t="shared" si="35"/>
        <v>0</v>
      </c>
      <c r="AL98" s="30">
        <f t="shared" si="36"/>
        <v>0</v>
      </c>
      <c r="AN98" s="30">
        <v>21</v>
      </c>
      <c r="AO98" s="30">
        <f>H98*0</f>
        <v>0</v>
      </c>
      <c r="AP98" s="30">
        <f>H98*(1-0)</f>
        <v>0</v>
      </c>
      <c r="AQ98" s="33" t="s">
        <v>80</v>
      </c>
      <c r="AV98" s="30">
        <f t="shared" si="37"/>
        <v>0</v>
      </c>
      <c r="AW98" s="30">
        <f t="shared" si="38"/>
        <v>0</v>
      </c>
      <c r="AX98" s="30">
        <f t="shared" si="39"/>
        <v>0</v>
      </c>
      <c r="AY98" s="33" t="s">
        <v>294</v>
      </c>
      <c r="AZ98" s="33" t="s">
        <v>295</v>
      </c>
      <c r="BA98" s="10" t="s">
        <v>59</v>
      </c>
      <c r="BC98" s="30">
        <f t="shared" si="40"/>
        <v>0</v>
      </c>
      <c r="BD98" s="30">
        <f t="shared" si="41"/>
        <v>0</v>
      </c>
      <c r="BE98" s="30">
        <v>0</v>
      </c>
      <c r="BF98" s="30">
        <f t="shared" si="42"/>
        <v>0</v>
      </c>
      <c r="BH98" s="30">
        <f t="shared" si="43"/>
        <v>0</v>
      </c>
      <c r="BI98" s="30">
        <f t="shared" si="44"/>
        <v>0</v>
      </c>
      <c r="BJ98" s="30">
        <f t="shared" si="45"/>
        <v>0</v>
      </c>
      <c r="BK98" s="30"/>
      <c r="BL98" s="30">
        <v>771</v>
      </c>
      <c r="BW98" s="30">
        <v>21</v>
      </c>
      <c r="BX98" s="4" t="s">
        <v>302</v>
      </c>
    </row>
    <row r="99" spans="1:76" ht="15">
      <c r="A99" s="2" t="s">
        <v>303</v>
      </c>
      <c r="B99" s="3" t="s">
        <v>49</v>
      </c>
      <c r="C99" s="3" t="s">
        <v>304</v>
      </c>
      <c r="D99" s="116" t="s">
        <v>305</v>
      </c>
      <c r="E99" s="111"/>
      <c r="F99" s="3" t="s">
        <v>69</v>
      </c>
      <c r="G99" s="30">
        <v>1.49</v>
      </c>
      <c r="H99" s="31">
        <v>0</v>
      </c>
      <c r="I99" s="30">
        <f t="shared" si="24"/>
        <v>0</v>
      </c>
      <c r="J99" s="30">
        <v>0</v>
      </c>
      <c r="K99" s="32">
        <f t="shared" si="25"/>
        <v>0</v>
      </c>
      <c r="Z99" s="30">
        <f t="shared" si="26"/>
        <v>0</v>
      </c>
      <c r="AB99" s="30">
        <f t="shared" si="27"/>
        <v>0</v>
      </c>
      <c r="AC99" s="30">
        <f t="shared" si="28"/>
        <v>0</v>
      </c>
      <c r="AD99" s="30">
        <f t="shared" si="29"/>
        <v>0</v>
      </c>
      <c r="AE99" s="30">
        <f t="shared" si="30"/>
        <v>0</v>
      </c>
      <c r="AF99" s="30">
        <f t="shared" si="31"/>
        <v>0</v>
      </c>
      <c r="AG99" s="30">
        <f t="shared" si="32"/>
        <v>0</v>
      </c>
      <c r="AH99" s="30">
        <f t="shared" si="33"/>
        <v>0</v>
      </c>
      <c r="AI99" s="10" t="s">
        <v>49</v>
      </c>
      <c r="AJ99" s="30">
        <f t="shared" si="34"/>
        <v>0</v>
      </c>
      <c r="AK99" s="30">
        <f t="shared" si="35"/>
        <v>0</v>
      </c>
      <c r="AL99" s="30">
        <f t="shared" si="36"/>
        <v>0</v>
      </c>
      <c r="AN99" s="30">
        <v>21</v>
      </c>
      <c r="AO99" s="30">
        <f>H99*0</f>
        <v>0</v>
      </c>
      <c r="AP99" s="30">
        <f>H99*(1-0)</f>
        <v>0</v>
      </c>
      <c r="AQ99" s="33" t="s">
        <v>80</v>
      </c>
      <c r="AV99" s="30">
        <f t="shared" si="37"/>
        <v>0</v>
      </c>
      <c r="AW99" s="30">
        <f t="shared" si="38"/>
        <v>0</v>
      </c>
      <c r="AX99" s="30">
        <f t="shared" si="39"/>
        <v>0</v>
      </c>
      <c r="AY99" s="33" t="s">
        <v>294</v>
      </c>
      <c r="AZ99" s="33" t="s">
        <v>295</v>
      </c>
      <c r="BA99" s="10" t="s">
        <v>59</v>
      </c>
      <c r="BC99" s="30">
        <f t="shared" si="40"/>
        <v>0</v>
      </c>
      <c r="BD99" s="30">
        <f t="shared" si="41"/>
        <v>0</v>
      </c>
      <c r="BE99" s="30">
        <v>0</v>
      </c>
      <c r="BF99" s="30">
        <f t="shared" si="42"/>
        <v>0</v>
      </c>
      <c r="BH99" s="30">
        <f t="shared" si="43"/>
        <v>0</v>
      </c>
      <c r="BI99" s="30">
        <f t="shared" si="44"/>
        <v>0</v>
      </c>
      <c r="BJ99" s="30">
        <f t="shared" si="45"/>
        <v>0</v>
      </c>
      <c r="BK99" s="30"/>
      <c r="BL99" s="30">
        <v>771</v>
      </c>
      <c r="BW99" s="30">
        <v>21</v>
      </c>
      <c r="BX99" s="4" t="s">
        <v>305</v>
      </c>
    </row>
    <row r="100" spans="1:76" ht="15">
      <c r="A100" s="2" t="s">
        <v>306</v>
      </c>
      <c r="B100" s="3" t="s">
        <v>49</v>
      </c>
      <c r="C100" s="3" t="s">
        <v>307</v>
      </c>
      <c r="D100" s="116" t="s">
        <v>308</v>
      </c>
      <c r="E100" s="111"/>
      <c r="F100" s="3" t="s">
        <v>56</v>
      </c>
      <c r="G100" s="30">
        <v>6.2</v>
      </c>
      <c r="H100" s="31">
        <v>0</v>
      </c>
      <c r="I100" s="30">
        <f t="shared" si="24"/>
        <v>0</v>
      </c>
      <c r="J100" s="30">
        <v>0</v>
      </c>
      <c r="K100" s="32">
        <f t="shared" si="25"/>
        <v>0</v>
      </c>
      <c r="Z100" s="30">
        <f t="shared" si="26"/>
        <v>0</v>
      </c>
      <c r="AB100" s="30">
        <f t="shared" si="27"/>
        <v>0</v>
      </c>
      <c r="AC100" s="30">
        <f t="shared" si="28"/>
        <v>0</v>
      </c>
      <c r="AD100" s="30">
        <f t="shared" si="29"/>
        <v>0</v>
      </c>
      <c r="AE100" s="30">
        <f t="shared" si="30"/>
        <v>0</v>
      </c>
      <c r="AF100" s="30">
        <f t="shared" si="31"/>
        <v>0</v>
      </c>
      <c r="AG100" s="30">
        <f t="shared" si="32"/>
        <v>0</v>
      </c>
      <c r="AH100" s="30">
        <f t="shared" si="33"/>
        <v>0</v>
      </c>
      <c r="AI100" s="10" t="s">
        <v>49</v>
      </c>
      <c r="AJ100" s="30">
        <f t="shared" si="34"/>
        <v>0</v>
      </c>
      <c r="AK100" s="30">
        <f t="shared" si="35"/>
        <v>0</v>
      </c>
      <c r="AL100" s="30">
        <f t="shared" si="36"/>
        <v>0</v>
      </c>
      <c r="AN100" s="30">
        <v>21</v>
      </c>
      <c r="AO100" s="30">
        <f>H100*0</f>
        <v>0</v>
      </c>
      <c r="AP100" s="30">
        <f>H100*(1-0)</f>
        <v>0</v>
      </c>
      <c r="AQ100" s="33" t="s">
        <v>80</v>
      </c>
      <c r="AV100" s="30">
        <f t="shared" si="37"/>
        <v>0</v>
      </c>
      <c r="AW100" s="30">
        <f t="shared" si="38"/>
        <v>0</v>
      </c>
      <c r="AX100" s="30">
        <f t="shared" si="39"/>
        <v>0</v>
      </c>
      <c r="AY100" s="33" t="s">
        <v>294</v>
      </c>
      <c r="AZ100" s="33" t="s">
        <v>295</v>
      </c>
      <c r="BA100" s="10" t="s">
        <v>59</v>
      </c>
      <c r="BC100" s="30">
        <f t="shared" si="40"/>
        <v>0</v>
      </c>
      <c r="BD100" s="30">
        <f t="shared" si="41"/>
        <v>0</v>
      </c>
      <c r="BE100" s="30">
        <v>0</v>
      </c>
      <c r="BF100" s="30">
        <f t="shared" si="42"/>
        <v>0</v>
      </c>
      <c r="BH100" s="30">
        <f t="shared" si="43"/>
        <v>0</v>
      </c>
      <c r="BI100" s="30">
        <f t="shared" si="44"/>
        <v>0</v>
      </c>
      <c r="BJ100" s="30">
        <f t="shared" si="45"/>
        <v>0</v>
      </c>
      <c r="BK100" s="30"/>
      <c r="BL100" s="30">
        <v>771</v>
      </c>
      <c r="BW100" s="30">
        <v>21</v>
      </c>
      <c r="BX100" s="4" t="s">
        <v>308</v>
      </c>
    </row>
    <row r="101" spans="1:76" ht="15">
      <c r="A101" s="2" t="s">
        <v>309</v>
      </c>
      <c r="B101" s="3" t="s">
        <v>49</v>
      </c>
      <c r="C101" s="3" t="s">
        <v>310</v>
      </c>
      <c r="D101" s="116" t="s">
        <v>311</v>
      </c>
      <c r="E101" s="111"/>
      <c r="F101" s="3" t="s">
        <v>56</v>
      </c>
      <c r="G101" s="30">
        <v>7.267</v>
      </c>
      <c r="H101" s="31">
        <v>0</v>
      </c>
      <c r="I101" s="30">
        <f t="shared" si="24"/>
        <v>0</v>
      </c>
      <c r="J101" s="30">
        <v>0.0192</v>
      </c>
      <c r="K101" s="32">
        <f t="shared" si="25"/>
        <v>0.1395264</v>
      </c>
      <c r="Z101" s="30">
        <f t="shared" si="26"/>
        <v>0</v>
      </c>
      <c r="AB101" s="30">
        <f t="shared" si="27"/>
        <v>0</v>
      </c>
      <c r="AC101" s="30">
        <f t="shared" si="28"/>
        <v>0</v>
      </c>
      <c r="AD101" s="30">
        <f t="shared" si="29"/>
        <v>0</v>
      </c>
      <c r="AE101" s="30">
        <f t="shared" si="30"/>
        <v>0</v>
      </c>
      <c r="AF101" s="30">
        <f t="shared" si="31"/>
        <v>0</v>
      </c>
      <c r="AG101" s="30">
        <f t="shared" si="32"/>
        <v>0</v>
      </c>
      <c r="AH101" s="30">
        <f t="shared" si="33"/>
        <v>0</v>
      </c>
      <c r="AI101" s="10" t="s">
        <v>49</v>
      </c>
      <c r="AJ101" s="30">
        <f t="shared" si="34"/>
        <v>0</v>
      </c>
      <c r="AK101" s="30">
        <f t="shared" si="35"/>
        <v>0</v>
      </c>
      <c r="AL101" s="30">
        <f t="shared" si="36"/>
        <v>0</v>
      </c>
      <c r="AN101" s="30">
        <v>21</v>
      </c>
      <c r="AO101" s="30">
        <f>H101*1</f>
        <v>0</v>
      </c>
      <c r="AP101" s="30">
        <f>H101*(1-1)</f>
        <v>0</v>
      </c>
      <c r="AQ101" s="33" t="s">
        <v>80</v>
      </c>
      <c r="AV101" s="30">
        <f t="shared" si="37"/>
        <v>0</v>
      </c>
      <c r="AW101" s="30">
        <f t="shared" si="38"/>
        <v>0</v>
      </c>
      <c r="AX101" s="30">
        <f t="shared" si="39"/>
        <v>0</v>
      </c>
      <c r="AY101" s="33" t="s">
        <v>294</v>
      </c>
      <c r="AZ101" s="33" t="s">
        <v>295</v>
      </c>
      <c r="BA101" s="10" t="s">
        <v>59</v>
      </c>
      <c r="BC101" s="30">
        <f t="shared" si="40"/>
        <v>0</v>
      </c>
      <c r="BD101" s="30">
        <f t="shared" si="41"/>
        <v>0</v>
      </c>
      <c r="BE101" s="30">
        <v>0</v>
      </c>
      <c r="BF101" s="30">
        <f t="shared" si="42"/>
        <v>0.1395264</v>
      </c>
      <c r="BH101" s="30">
        <f t="shared" si="43"/>
        <v>0</v>
      </c>
      <c r="BI101" s="30">
        <f t="shared" si="44"/>
        <v>0</v>
      </c>
      <c r="BJ101" s="30">
        <f t="shared" si="45"/>
        <v>0</v>
      </c>
      <c r="BK101" s="30"/>
      <c r="BL101" s="30">
        <v>771</v>
      </c>
      <c r="BW101" s="30">
        <v>21</v>
      </c>
      <c r="BX101" s="4" t="s">
        <v>311</v>
      </c>
    </row>
    <row r="102" spans="1:76" ht="15">
      <c r="A102" s="2" t="s">
        <v>312</v>
      </c>
      <c r="B102" s="3" t="s">
        <v>49</v>
      </c>
      <c r="C102" s="3" t="s">
        <v>313</v>
      </c>
      <c r="D102" s="116" t="s">
        <v>314</v>
      </c>
      <c r="E102" s="111"/>
      <c r="F102" s="3" t="s">
        <v>69</v>
      </c>
      <c r="G102" s="30">
        <v>7.79</v>
      </c>
      <c r="H102" s="31">
        <v>0</v>
      </c>
      <c r="I102" s="30">
        <f t="shared" si="24"/>
        <v>0</v>
      </c>
      <c r="J102" s="30">
        <v>0</v>
      </c>
      <c r="K102" s="32">
        <f t="shared" si="25"/>
        <v>0</v>
      </c>
      <c r="Z102" s="30">
        <f t="shared" si="26"/>
        <v>0</v>
      </c>
      <c r="AB102" s="30">
        <f t="shared" si="27"/>
        <v>0</v>
      </c>
      <c r="AC102" s="30">
        <f t="shared" si="28"/>
        <v>0</v>
      </c>
      <c r="AD102" s="30">
        <f t="shared" si="29"/>
        <v>0</v>
      </c>
      <c r="AE102" s="30">
        <f t="shared" si="30"/>
        <v>0</v>
      </c>
      <c r="AF102" s="30">
        <f t="shared" si="31"/>
        <v>0</v>
      </c>
      <c r="AG102" s="30">
        <f t="shared" si="32"/>
        <v>0</v>
      </c>
      <c r="AH102" s="30">
        <f t="shared" si="33"/>
        <v>0</v>
      </c>
      <c r="AI102" s="10" t="s">
        <v>49</v>
      </c>
      <c r="AJ102" s="30">
        <f t="shared" si="34"/>
        <v>0</v>
      </c>
      <c r="AK102" s="30">
        <f t="shared" si="35"/>
        <v>0</v>
      </c>
      <c r="AL102" s="30">
        <f t="shared" si="36"/>
        <v>0</v>
      </c>
      <c r="AN102" s="30">
        <v>21</v>
      </c>
      <c r="AO102" s="30">
        <f>H102*0</f>
        <v>0</v>
      </c>
      <c r="AP102" s="30">
        <f>H102*(1-0)</f>
        <v>0</v>
      </c>
      <c r="AQ102" s="33" t="s">
        <v>80</v>
      </c>
      <c r="AV102" s="30">
        <f t="shared" si="37"/>
        <v>0</v>
      </c>
      <c r="AW102" s="30">
        <f t="shared" si="38"/>
        <v>0</v>
      </c>
      <c r="AX102" s="30">
        <f t="shared" si="39"/>
        <v>0</v>
      </c>
      <c r="AY102" s="33" t="s">
        <v>294</v>
      </c>
      <c r="AZ102" s="33" t="s">
        <v>295</v>
      </c>
      <c r="BA102" s="10" t="s">
        <v>59</v>
      </c>
      <c r="BC102" s="30">
        <f t="shared" si="40"/>
        <v>0</v>
      </c>
      <c r="BD102" s="30">
        <f t="shared" si="41"/>
        <v>0</v>
      </c>
      <c r="BE102" s="30">
        <v>0</v>
      </c>
      <c r="BF102" s="30">
        <f t="shared" si="42"/>
        <v>0</v>
      </c>
      <c r="BH102" s="30">
        <f t="shared" si="43"/>
        <v>0</v>
      </c>
      <c r="BI102" s="30">
        <f t="shared" si="44"/>
        <v>0</v>
      </c>
      <c r="BJ102" s="30">
        <f t="shared" si="45"/>
        <v>0</v>
      </c>
      <c r="BK102" s="30"/>
      <c r="BL102" s="30">
        <v>771</v>
      </c>
      <c r="BW102" s="30">
        <v>21</v>
      </c>
      <c r="BX102" s="4" t="s">
        <v>314</v>
      </c>
    </row>
    <row r="103" spans="1:76" ht="15">
      <c r="A103" s="2" t="s">
        <v>315</v>
      </c>
      <c r="B103" s="3" t="s">
        <v>49</v>
      </c>
      <c r="C103" s="3" t="s">
        <v>316</v>
      </c>
      <c r="D103" s="116" t="s">
        <v>317</v>
      </c>
      <c r="E103" s="111"/>
      <c r="F103" s="3" t="s">
        <v>135</v>
      </c>
      <c r="G103" s="30">
        <v>25.70957</v>
      </c>
      <c r="H103" s="31">
        <v>0</v>
      </c>
      <c r="I103" s="30">
        <f t="shared" si="24"/>
        <v>0</v>
      </c>
      <c r="J103" s="30">
        <v>0.00045</v>
      </c>
      <c r="K103" s="32">
        <f t="shared" si="25"/>
        <v>0.0115693065</v>
      </c>
      <c r="Z103" s="30">
        <f t="shared" si="26"/>
        <v>0</v>
      </c>
      <c r="AB103" s="30">
        <f t="shared" si="27"/>
        <v>0</v>
      </c>
      <c r="AC103" s="30">
        <f t="shared" si="28"/>
        <v>0</v>
      </c>
      <c r="AD103" s="30">
        <f t="shared" si="29"/>
        <v>0</v>
      </c>
      <c r="AE103" s="30">
        <f t="shared" si="30"/>
        <v>0</v>
      </c>
      <c r="AF103" s="30">
        <f t="shared" si="31"/>
        <v>0</v>
      </c>
      <c r="AG103" s="30">
        <f t="shared" si="32"/>
        <v>0</v>
      </c>
      <c r="AH103" s="30">
        <f t="shared" si="33"/>
        <v>0</v>
      </c>
      <c r="AI103" s="10" t="s">
        <v>49</v>
      </c>
      <c r="AJ103" s="30">
        <f t="shared" si="34"/>
        <v>0</v>
      </c>
      <c r="AK103" s="30">
        <f t="shared" si="35"/>
        <v>0</v>
      </c>
      <c r="AL103" s="30">
        <f t="shared" si="36"/>
        <v>0</v>
      </c>
      <c r="AN103" s="30">
        <v>21</v>
      </c>
      <c r="AO103" s="30">
        <f>H103*1</f>
        <v>0</v>
      </c>
      <c r="AP103" s="30">
        <f>H103*(1-1)</f>
        <v>0</v>
      </c>
      <c r="AQ103" s="33" t="s">
        <v>80</v>
      </c>
      <c r="AV103" s="30">
        <f t="shared" si="37"/>
        <v>0</v>
      </c>
      <c r="AW103" s="30">
        <f t="shared" si="38"/>
        <v>0</v>
      </c>
      <c r="AX103" s="30">
        <f t="shared" si="39"/>
        <v>0</v>
      </c>
      <c r="AY103" s="33" t="s">
        <v>294</v>
      </c>
      <c r="AZ103" s="33" t="s">
        <v>295</v>
      </c>
      <c r="BA103" s="10" t="s">
        <v>59</v>
      </c>
      <c r="BC103" s="30">
        <f t="shared" si="40"/>
        <v>0</v>
      </c>
      <c r="BD103" s="30">
        <f t="shared" si="41"/>
        <v>0</v>
      </c>
      <c r="BE103" s="30">
        <v>0</v>
      </c>
      <c r="BF103" s="30">
        <f t="shared" si="42"/>
        <v>0.0115693065</v>
      </c>
      <c r="BH103" s="30">
        <f t="shared" si="43"/>
        <v>0</v>
      </c>
      <c r="BI103" s="30">
        <f t="shared" si="44"/>
        <v>0</v>
      </c>
      <c r="BJ103" s="30">
        <f t="shared" si="45"/>
        <v>0</v>
      </c>
      <c r="BK103" s="30"/>
      <c r="BL103" s="30">
        <v>771</v>
      </c>
      <c r="BW103" s="30">
        <v>21</v>
      </c>
      <c r="BX103" s="4" t="s">
        <v>317</v>
      </c>
    </row>
    <row r="104" spans="1:76" ht="15">
      <c r="A104" s="2" t="s">
        <v>318</v>
      </c>
      <c r="B104" s="3" t="s">
        <v>49</v>
      </c>
      <c r="C104" s="3" t="s">
        <v>319</v>
      </c>
      <c r="D104" s="116" t="s">
        <v>320</v>
      </c>
      <c r="E104" s="111"/>
      <c r="F104" s="3" t="s">
        <v>179</v>
      </c>
      <c r="G104" s="30">
        <v>125.2738</v>
      </c>
      <c r="H104" s="31">
        <v>0</v>
      </c>
      <c r="I104" s="30">
        <f t="shared" si="24"/>
        <v>0</v>
      </c>
      <c r="J104" s="30">
        <v>0</v>
      </c>
      <c r="K104" s="32">
        <f t="shared" si="25"/>
        <v>0</v>
      </c>
      <c r="Z104" s="30">
        <f t="shared" si="26"/>
        <v>0</v>
      </c>
      <c r="AB104" s="30">
        <f t="shared" si="27"/>
        <v>0</v>
      </c>
      <c r="AC104" s="30">
        <f t="shared" si="28"/>
        <v>0</v>
      </c>
      <c r="AD104" s="30">
        <f t="shared" si="29"/>
        <v>0</v>
      </c>
      <c r="AE104" s="30">
        <f t="shared" si="30"/>
        <v>0</v>
      </c>
      <c r="AF104" s="30">
        <f t="shared" si="31"/>
        <v>0</v>
      </c>
      <c r="AG104" s="30">
        <f t="shared" si="32"/>
        <v>0</v>
      </c>
      <c r="AH104" s="30">
        <f t="shared" si="33"/>
        <v>0</v>
      </c>
      <c r="AI104" s="10" t="s">
        <v>49</v>
      </c>
      <c r="AJ104" s="30">
        <f t="shared" si="34"/>
        <v>0</v>
      </c>
      <c r="AK104" s="30">
        <f t="shared" si="35"/>
        <v>0</v>
      </c>
      <c r="AL104" s="30">
        <f t="shared" si="36"/>
        <v>0</v>
      </c>
      <c r="AN104" s="30">
        <v>21</v>
      </c>
      <c r="AO104" s="30">
        <f>H104*0</f>
        <v>0</v>
      </c>
      <c r="AP104" s="30">
        <f>H104*(1-0)</f>
        <v>0</v>
      </c>
      <c r="AQ104" s="33" t="s">
        <v>72</v>
      </c>
      <c r="AV104" s="30">
        <f t="shared" si="37"/>
        <v>0</v>
      </c>
      <c r="AW104" s="30">
        <f t="shared" si="38"/>
        <v>0</v>
      </c>
      <c r="AX104" s="30">
        <f t="shared" si="39"/>
        <v>0</v>
      </c>
      <c r="AY104" s="33" t="s">
        <v>294</v>
      </c>
      <c r="AZ104" s="33" t="s">
        <v>295</v>
      </c>
      <c r="BA104" s="10" t="s">
        <v>59</v>
      </c>
      <c r="BC104" s="30">
        <f t="shared" si="40"/>
        <v>0</v>
      </c>
      <c r="BD104" s="30">
        <f t="shared" si="41"/>
        <v>0</v>
      </c>
      <c r="BE104" s="30">
        <v>0</v>
      </c>
      <c r="BF104" s="30">
        <f t="shared" si="42"/>
        <v>0</v>
      </c>
      <c r="BH104" s="30">
        <f t="shared" si="43"/>
        <v>0</v>
      </c>
      <c r="BI104" s="30">
        <f t="shared" si="44"/>
        <v>0</v>
      </c>
      <c r="BJ104" s="30">
        <f t="shared" si="45"/>
        <v>0</v>
      </c>
      <c r="BK104" s="30"/>
      <c r="BL104" s="30">
        <v>771</v>
      </c>
      <c r="BW104" s="30">
        <v>21</v>
      </c>
      <c r="BX104" s="4" t="s">
        <v>320</v>
      </c>
    </row>
    <row r="105" spans="1:47" ht="15">
      <c r="A105" s="25" t="s">
        <v>48</v>
      </c>
      <c r="B105" s="26" t="s">
        <v>49</v>
      </c>
      <c r="C105" s="26" t="s">
        <v>321</v>
      </c>
      <c r="D105" s="135" t="s">
        <v>322</v>
      </c>
      <c r="E105" s="136"/>
      <c r="F105" s="27" t="s">
        <v>4</v>
      </c>
      <c r="G105" s="27" t="s">
        <v>4</v>
      </c>
      <c r="H105" s="28" t="s">
        <v>4</v>
      </c>
      <c r="I105" s="1">
        <f>SUM(I106:I116)</f>
        <v>0</v>
      </c>
      <c r="J105" s="10" t="s">
        <v>48</v>
      </c>
      <c r="K105" s="29">
        <f>SUM(K106:K116)</f>
        <v>23.865171999999998</v>
      </c>
      <c r="AI105" s="10" t="s">
        <v>49</v>
      </c>
      <c r="AS105" s="1">
        <f>SUM(AJ106:AJ116)</f>
        <v>0</v>
      </c>
      <c r="AT105" s="1">
        <f>SUM(AK106:AK116)</f>
        <v>0</v>
      </c>
      <c r="AU105" s="1">
        <f>SUM(AL106:AL116)</f>
        <v>0</v>
      </c>
    </row>
    <row r="106" spans="1:76" ht="15">
      <c r="A106" s="2" t="s">
        <v>323</v>
      </c>
      <c r="B106" s="3" t="s">
        <v>49</v>
      </c>
      <c r="C106" s="3" t="s">
        <v>324</v>
      </c>
      <c r="D106" s="116" t="s">
        <v>325</v>
      </c>
      <c r="E106" s="111"/>
      <c r="F106" s="3" t="s">
        <v>69</v>
      </c>
      <c r="G106" s="30">
        <v>191.35</v>
      </c>
      <c r="H106" s="31">
        <v>0</v>
      </c>
      <c r="I106" s="30">
        <f>G106*H106</f>
        <v>0</v>
      </c>
      <c r="J106" s="30">
        <v>0.12472</v>
      </c>
      <c r="K106" s="32">
        <f>G106*J106</f>
        <v>23.865171999999998</v>
      </c>
      <c r="Z106" s="30">
        <f>IF(AQ106="5",BJ106,0)</f>
        <v>0</v>
      </c>
      <c r="AB106" s="30">
        <f>IF(AQ106="1",BH106,0)</f>
        <v>0</v>
      </c>
      <c r="AC106" s="30">
        <f>IF(AQ106="1",BI106,0)</f>
        <v>0</v>
      </c>
      <c r="AD106" s="30">
        <f>IF(AQ106="7",BH106,0)</f>
        <v>0</v>
      </c>
      <c r="AE106" s="30">
        <f>IF(AQ106="7",BI106,0)</f>
        <v>0</v>
      </c>
      <c r="AF106" s="30">
        <f>IF(AQ106="2",BH106,0)</f>
        <v>0</v>
      </c>
      <c r="AG106" s="30">
        <f>IF(AQ106="2",BI106,0)</f>
        <v>0</v>
      </c>
      <c r="AH106" s="30">
        <f>IF(AQ106="0",BJ106,0)</f>
        <v>0</v>
      </c>
      <c r="AI106" s="10" t="s">
        <v>49</v>
      </c>
      <c r="AJ106" s="30">
        <f>IF(AN106=0,I106,0)</f>
        <v>0</v>
      </c>
      <c r="AK106" s="30">
        <f>IF(AN106=12,I106,0)</f>
        <v>0</v>
      </c>
      <c r="AL106" s="30">
        <f>IF(AN106=21,I106,0)</f>
        <v>0</v>
      </c>
      <c r="AN106" s="30">
        <v>21</v>
      </c>
      <c r="AO106" s="30">
        <f>H106*0.753118971</f>
        <v>0</v>
      </c>
      <c r="AP106" s="30">
        <f>H106*(1-0.753118971)</f>
        <v>0</v>
      </c>
      <c r="AQ106" s="33" t="s">
        <v>53</v>
      </c>
      <c r="AV106" s="30">
        <f>AW106+AX106</f>
        <v>0</v>
      </c>
      <c r="AW106" s="30">
        <f>G106*AO106</f>
        <v>0</v>
      </c>
      <c r="AX106" s="30">
        <f>G106*AP106</f>
        <v>0</v>
      </c>
      <c r="AY106" s="33" t="s">
        <v>326</v>
      </c>
      <c r="AZ106" s="33" t="s">
        <v>327</v>
      </c>
      <c r="BA106" s="10" t="s">
        <v>59</v>
      </c>
      <c r="BC106" s="30">
        <f>AW106+AX106</f>
        <v>0</v>
      </c>
      <c r="BD106" s="30">
        <f>H106/(100-BE106)*100</f>
        <v>0</v>
      </c>
      <c r="BE106" s="30">
        <v>0</v>
      </c>
      <c r="BF106" s="30">
        <f>K106</f>
        <v>23.865171999999998</v>
      </c>
      <c r="BH106" s="30">
        <f>G106*AO106</f>
        <v>0</v>
      </c>
      <c r="BI106" s="30">
        <f>G106*AP106</f>
        <v>0</v>
      </c>
      <c r="BJ106" s="30">
        <f>G106*H106</f>
        <v>0</v>
      </c>
      <c r="BK106" s="30"/>
      <c r="BL106" s="30">
        <v>91</v>
      </c>
      <c r="BW106" s="30">
        <v>21</v>
      </c>
      <c r="BX106" s="4" t="s">
        <v>325</v>
      </c>
    </row>
    <row r="107" spans="1:11" ht="13.5" customHeight="1">
      <c r="A107" s="34"/>
      <c r="C107" s="35" t="s">
        <v>254</v>
      </c>
      <c r="D107" s="137" t="s">
        <v>328</v>
      </c>
      <c r="E107" s="138"/>
      <c r="F107" s="138"/>
      <c r="G107" s="138"/>
      <c r="H107" s="139"/>
      <c r="I107" s="138"/>
      <c r="J107" s="138"/>
      <c r="K107" s="140"/>
    </row>
    <row r="108" spans="1:76" ht="25.5">
      <c r="A108" s="2" t="s">
        <v>329</v>
      </c>
      <c r="B108" s="3" t="s">
        <v>49</v>
      </c>
      <c r="C108" s="3" t="s">
        <v>330</v>
      </c>
      <c r="D108" s="116" t="s">
        <v>331</v>
      </c>
      <c r="E108" s="111"/>
      <c r="F108" s="3" t="s">
        <v>332</v>
      </c>
      <c r="G108" s="30">
        <v>1</v>
      </c>
      <c r="H108" s="31">
        <v>0</v>
      </c>
      <c r="I108" s="30">
        <f>G108*H108</f>
        <v>0</v>
      </c>
      <c r="J108" s="30">
        <v>0</v>
      </c>
      <c r="K108" s="32">
        <f>G108*J108</f>
        <v>0</v>
      </c>
      <c r="Z108" s="30">
        <f>IF(AQ108="5",BJ108,0)</f>
        <v>0</v>
      </c>
      <c r="AB108" s="30">
        <f>IF(AQ108="1",BH108,0)</f>
        <v>0</v>
      </c>
      <c r="AC108" s="30">
        <f>IF(AQ108="1",BI108,0)</f>
        <v>0</v>
      </c>
      <c r="AD108" s="30">
        <f>IF(AQ108="7",BH108,0)</f>
        <v>0</v>
      </c>
      <c r="AE108" s="30">
        <f>IF(AQ108="7",BI108,0)</f>
        <v>0</v>
      </c>
      <c r="AF108" s="30">
        <f>IF(AQ108="2",BH108,0)</f>
        <v>0</v>
      </c>
      <c r="AG108" s="30">
        <f>IF(AQ108="2",BI108,0)</f>
        <v>0</v>
      </c>
      <c r="AH108" s="30">
        <f>IF(AQ108="0",BJ108,0)</f>
        <v>0</v>
      </c>
      <c r="AI108" s="10" t="s">
        <v>49</v>
      </c>
      <c r="AJ108" s="30">
        <f>IF(AN108=0,I108,0)</f>
        <v>0</v>
      </c>
      <c r="AK108" s="30">
        <f>IF(AN108=12,I108,0)</f>
        <v>0</v>
      </c>
      <c r="AL108" s="30">
        <f>IF(AN108=21,I108,0)</f>
        <v>0</v>
      </c>
      <c r="AN108" s="30">
        <v>21</v>
      </c>
      <c r="AO108" s="30">
        <f>H108*0</f>
        <v>0</v>
      </c>
      <c r="AP108" s="30">
        <f>H108*(1-0)</f>
        <v>0</v>
      </c>
      <c r="AQ108" s="33" t="s">
        <v>53</v>
      </c>
      <c r="AV108" s="30">
        <f>AW108+AX108</f>
        <v>0</v>
      </c>
      <c r="AW108" s="30">
        <f>G108*AO108</f>
        <v>0</v>
      </c>
      <c r="AX108" s="30">
        <f>G108*AP108</f>
        <v>0</v>
      </c>
      <c r="AY108" s="33" t="s">
        <v>326</v>
      </c>
      <c r="AZ108" s="33" t="s">
        <v>327</v>
      </c>
      <c r="BA108" s="10" t="s">
        <v>59</v>
      </c>
      <c r="BC108" s="30">
        <f>AW108+AX108</f>
        <v>0</v>
      </c>
      <c r="BD108" s="30">
        <f>H108/(100-BE108)*100</f>
        <v>0</v>
      </c>
      <c r="BE108" s="30">
        <v>0</v>
      </c>
      <c r="BF108" s="30">
        <f>K108</f>
        <v>0</v>
      </c>
      <c r="BH108" s="30">
        <f>G108*AO108</f>
        <v>0</v>
      </c>
      <c r="BI108" s="30">
        <f>G108*AP108</f>
        <v>0</v>
      </c>
      <c r="BJ108" s="30">
        <f>G108*H108</f>
        <v>0</v>
      </c>
      <c r="BK108" s="30"/>
      <c r="BL108" s="30">
        <v>91</v>
      </c>
      <c r="BW108" s="30">
        <v>21</v>
      </c>
      <c r="BX108" s="4" t="s">
        <v>331</v>
      </c>
    </row>
    <row r="109" spans="1:76" ht="15">
      <c r="A109" s="2" t="s">
        <v>333</v>
      </c>
      <c r="B109" s="3" t="s">
        <v>49</v>
      </c>
      <c r="C109" s="3" t="s">
        <v>334</v>
      </c>
      <c r="D109" s="116" t="s">
        <v>335</v>
      </c>
      <c r="E109" s="111"/>
      <c r="F109" s="3" t="s">
        <v>332</v>
      </c>
      <c r="G109" s="30">
        <v>1</v>
      </c>
      <c r="H109" s="31">
        <v>0</v>
      </c>
      <c r="I109" s="30">
        <f>G109*H109</f>
        <v>0</v>
      </c>
      <c r="J109" s="30">
        <v>0</v>
      </c>
      <c r="K109" s="32">
        <f>G109*J109</f>
        <v>0</v>
      </c>
      <c r="Z109" s="30">
        <f>IF(AQ109="5",BJ109,0)</f>
        <v>0</v>
      </c>
      <c r="AB109" s="30">
        <f>IF(AQ109="1",BH109,0)</f>
        <v>0</v>
      </c>
      <c r="AC109" s="30">
        <f>IF(AQ109="1",BI109,0)</f>
        <v>0</v>
      </c>
      <c r="AD109" s="30">
        <f>IF(AQ109="7",BH109,0)</f>
        <v>0</v>
      </c>
      <c r="AE109" s="30">
        <f>IF(AQ109="7",BI109,0)</f>
        <v>0</v>
      </c>
      <c r="AF109" s="30">
        <f>IF(AQ109="2",BH109,0)</f>
        <v>0</v>
      </c>
      <c r="AG109" s="30">
        <f>IF(AQ109="2",BI109,0)</f>
        <v>0</v>
      </c>
      <c r="AH109" s="30">
        <f>IF(AQ109="0",BJ109,0)</f>
        <v>0</v>
      </c>
      <c r="AI109" s="10" t="s">
        <v>49</v>
      </c>
      <c r="AJ109" s="30">
        <f>IF(AN109=0,I109,0)</f>
        <v>0</v>
      </c>
      <c r="AK109" s="30">
        <f>IF(AN109=12,I109,0)</f>
        <v>0</v>
      </c>
      <c r="AL109" s="30">
        <f>IF(AN109=21,I109,0)</f>
        <v>0</v>
      </c>
      <c r="AN109" s="30">
        <v>21</v>
      </c>
      <c r="AO109" s="30">
        <f>H109*0</f>
        <v>0</v>
      </c>
      <c r="AP109" s="30">
        <f>H109*(1-0)</f>
        <v>0</v>
      </c>
      <c r="AQ109" s="33" t="s">
        <v>53</v>
      </c>
      <c r="AV109" s="30">
        <f>AW109+AX109</f>
        <v>0</v>
      </c>
      <c r="AW109" s="30">
        <f>G109*AO109</f>
        <v>0</v>
      </c>
      <c r="AX109" s="30">
        <f>G109*AP109</f>
        <v>0</v>
      </c>
      <c r="AY109" s="33" t="s">
        <v>326</v>
      </c>
      <c r="AZ109" s="33" t="s">
        <v>327</v>
      </c>
      <c r="BA109" s="10" t="s">
        <v>59</v>
      </c>
      <c r="BC109" s="30">
        <f>AW109+AX109</f>
        <v>0</v>
      </c>
      <c r="BD109" s="30">
        <f>H109/(100-BE109)*100</f>
        <v>0</v>
      </c>
      <c r="BE109" s="30">
        <v>0</v>
      </c>
      <c r="BF109" s="30">
        <f>K109</f>
        <v>0</v>
      </c>
      <c r="BH109" s="30">
        <f>G109*AO109</f>
        <v>0</v>
      </c>
      <c r="BI109" s="30">
        <f>G109*AP109</f>
        <v>0</v>
      </c>
      <c r="BJ109" s="30">
        <f>G109*H109</f>
        <v>0</v>
      </c>
      <c r="BK109" s="30"/>
      <c r="BL109" s="30">
        <v>91</v>
      </c>
      <c r="BW109" s="30">
        <v>21</v>
      </c>
      <c r="BX109" s="4" t="s">
        <v>335</v>
      </c>
    </row>
    <row r="110" spans="1:76" ht="25.5">
      <c r="A110" s="2" t="s">
        <v>336</v>
      </c>
      <c r="B110" s="3" t="s">
        <v>49</v>
      </c>
      <c r="C110" s="3" t="s">
        <v>337</v>
      </c>
      <c r="D110" s="116" t="s">
        <v>338</v>
      </c>
      <c r="E110" s="111"/>
      <c r="F110" s="3" t="s">
        <v>332</v>
      </c>
      <c r="G110" s="30">
        <v>1</v>
      </c>
      <c r="H110" s="31">
        <v>0</v>
      </c>
      <c r="I110" s="30">
        <f>G110*H110</f>
        <v>0</v>
      </c>
      <c r="J110" s="30">
        <v>0</v>
      </c>
      <c r="K110" s="32">
        <f>G110*J110</f>
        <v>0</v>
      </c>
      <c r="Z110" s="30">
        <f>IF(AQ110="5",BJ110,0)</f>
        <v>0</v>
      </c>
      <c r="AB110" s="30">
        <f>IF(AQ110="1",BH110,0)</f>
        <v>0</v>
      </c>
      <c r="AC110" s="30">
        <f>IF(AQ110="1",BI110,0)</f>
        <v>0</v>
      </c>
      <c r="AD110" s="30">
        <f>IF(AQ110="7",BH110,0)</f>
        <v>0</v>
      </c>
      <c r="AE110" s="30">
        <f>IF(AQ110="7",BI110,0)</f>
        <v>0</v>
      </c>
      <c r="AF110" s="30">
        <f>IF(AQ110="2",BH110,0)</f>
        <v>0</v>
      </c>
      <c r="AG110" s="30">
        <f>IF(AQ110="2",BI110,0)</f>
        <v>0</v>
      </c>
      <c r="AH110" s="30">
        <f>IF(AQ110="0",BJ110,0)</f>
        <v>0</v>
      </c>
      <c r="AI110" s="10" t="s">
        <v>49</v>
      </c>
      <c r="AJ110" s="30">
        <f>IF(AN110=0,I110,0)</f>
        <v>0</v>
      </c>
      <c r="AK110" s="30">
        <f>IF(AN110=12,I110,0)</f>
        <v>0</v>
      </c>
      <c r="AL110" s="30">
        <f>IF(AN110=21,I110,0)</f>
        <v>0</v>
      </c>
      <c r="AN110" s="30">
        <v>21</v>
      </c>
      <c r="AO110" s="30">
        <f>H110*0</f>
        <v>0</v>
      </c>
      <c r="AP110" s="30">
        <f>H110*(1-0)</f>
        <v>0</v>
      </c>
      <c r="AQ110" s="33" t="s">
        <v>53</v>
      </c>
      <c r="AV110" s="30">
        <f>AW110+AX110</f>
        <v>0</v>
      </c>
      <c r="AW110" s="30">
        <f>G110*AO110</f>
        <v>0</v>
      </c>
      <c r="AX110" s="30">
        <f>G110*AP110</f>
        <v>0</v>
      </c>
      <c r="AY110" s="33" t="s">
        <v>326</v>
      </c>
      <c r="AZ110" s="33" t="s">
        <v>327</v>
      </c>
      <c r="BA110" s="10" t="s">
        <v>59</v>
      </c>
      <c r="BC110" s="30">
        <f>AW110+AX110</f>
        <v>0</v>
      </c>
      <c r="BD110" s="30">
        <f>H110/(100-BE110)*100</f>
        <v>0</v>
      </c>
      <c r="BE110" s="30">
        <v>0</v>
      </c>
      <c r="BF110" s="30">
        <f>K110</f>
        <v>0</v>
      </c>
      <c r="BH110" s="30">
        <f>G110*AO110</f>
        <v>0</v>
      </c>
      <c r="BI110" s="30">
        <f>G110*AP110</f>
        <v>0</v>
      </c>
      <c r="BJ110" s="30">
        <f>G110*H110</f>
        <v>0</v>
      </c>
      <c r="BK110" s="30"/>
      <c r="BL110" s="30">
        <v>91</v>
      </c>
      <c r="BW110" s="30">
        <v>21</v>
      </c>
      <c r="BX110" s="4" t="s">
        <v>338</v>
      </c>
    </row>
    <row r="111" spans="1:76" ht="15">
      <c r="A111" s="2" t="s">
        <v>339</v>
      </c>
      <c r="B111" s="3" t="s">
        <v>49</v>
      </c>
      <c r="C111" s="3" t="s">
        <v>340</v>
      </c>
      <c r="D111" s="116" t="s">
        <v>341</v>
      </c>
      <c r="E111" s="111"/>
      <c r="F111" s="3" t="s">
        <v>332</v>
      </c>
      <c r="G111" s="30">
        <v>1</v>
      </c>
      <c r="H111" s="31">
        <v>0</v>
      </c>
      <c r="I111" s="30">
        <f>G111*H111</f>
        <v>0</v>
      </c>
      <c r="J111" s="30">
        <v>0</v>
      </c>
      <c r="K111" s="32">
        <f>G111*J111</f>
        <v>0</v>
      </c>
      <c r="Z111" s="30">
        <f>IF(AQ111="5",BJ111,0)</f>
        <v>0</v>
      </c>
      <c r="AB111" s="30">
        <f>IF(AQ111="1",BH111,0)</f>
        <v>0</v>
      </c>
      <c r="AC111" s="30">
        <f>IF(AQ111="1",BI111,0)</f>
        <v>0</v>
      </c>
      <c r="AD111" s="30">
        <f>IF(AQ111="7",BH111,0)</f>
        <v>0</v>
      </c>
      <c r="AE111" s="30">
        <f>IF(AQ111="7",BI111,0)</f>
        <v>0</v>
      </c>
      <c r="AF111" s="30">
        <f>IF(AQ111="2",BH111,0)</f>
        <v>0</v>
      </c>
      <c r="AG111" s="30">
        <f>IF(AQ111="2",BI111,0)</f>
        <v>0</v>
      </c>
      <c r="AH111" s="30">
        <f>IF(AQ111="0",BJ111,0)</f>
        <v>0</v>
      </c>
      <c r="AI111" s="10" t="s">
        <v>49</v>
      </c>
      <c r="AJ111" s="30">
        <f>IF(AN111=0,I111,0)</f>
        <v>0</v>
      </c>
      <c r="AK111" s="30">
        <f>IF(AN111=12,I111,0)</f>
        <v>0</v>
      </c>
      <c r="AL111" s="30">
        <f>IF(AN111=21,I111,0)</f>
        <v>0</v>
      </c>
      <c r="AN111" s="30">
        <v>21</v>
      </c>
      <c r="AO111" s="30">
        <f>H111*0</f>
        <v>0</v>
      </c>
      <c r="AP111" s="30">
        <f>H111*(1-0)</f>
        <v>0</v>
      </c>
      <c r="AQ111" s="33" t="s">
        <v>53</v>
      </c>
      <c r="AV111" s="30">
        <f>AW111+AX111</f>
        <v>0</v>
      </c>
      <c r="AW111" s="30">
        <f>G111*AO111</f>
        <v>0</v>
      </c>
      <c r="AX111" s="30">
        <f>G111*AP111</f>
        <v>0</v>
      </c>
      <c r="AY111" s="33" t="s">
        <v>326</v>
      </c>
      <c r="AZ111" s="33" t="s">
        <v>327</v>
      </c>
      <c r="BA111" s="10" t="s">
        <v>59</v>
      </c>
      <c r="BC111" s="30">
        <f>AW111+AX111</f>
        <v>0</v>
      </c>
      <c r="BD111" s="30">
        <f>H111/(100-BE111)*100</f>
        <v>0</v>
      </c>
      <c r="BE111" s="30">
        <v>0</v>
      </c>
      <c r="BF111" s="30">
        <f>K111</f>
        <v>0</v>
      </c>
      <c r="BH111" s="30">
        <f>G111*AO111</f>
        <v>0</v>
      </c>
      <c r="BI111" s="30">
        <f>G111*AP111</f>
        <v>0</v>
      </c>
      <c r="BJ111" s="30">
        <f>G111*H111</f>
        <v>0</v>
      </c>
      <c r="BK111" s="30"/>
      <c r="BL111" s="30">
        <v>91</v>
      </c>
      <c r="BW111" s="30">
        <v>21</v>
      </c>
      <c r="BX111" s="4" t="s">
        <v>341</v>
      </c>
    </row>
    <row r="112" spans="1:11" ht="27" customHeight="1">
      <c r="A112" s="34"/>
      <c r="C112" s="35" t="s">
        <v>231</v>
      </c>
      <c r="D112" s="137" t="s">
        <v>342</v>
      </c>
      <c r="E112" s="138"/>
      <c r="F112" s="138"/>
      <c r="G112" s="138"/>
      <c r="H112" s="139"/>
      <c r="I112" s="138"/>
      <c r="J112" s="138"/>
      <c r="K112" s="140"/>
    </row>
    <row r="113" spans="1:76" ht="25.5">
      <c r="A113" s="2" t="s">
        <v>343</v>
      </c>
      <c r="B113" s="3" t="s">
        <v>49</v>
      </c>
      <c r="C113" s="3" t="s">
        <v>344</v>
      </c>
      <c r="D113" s="116" t="s">
        <v>345</v>
      </c>
      <c r="E113" s="111"/>
      <c r="F113" s="3" t="s">
        <v>332</v>
      </c>
      <c r="G113" s="30">
        <v>1</v>
      </c>
      <c r="H113" s="31">
        <v>0</v>
      </c>
      <c r="I113" s="30">
        <f>G113*H113</f>
        <v>0</v>
      </c>
      <c r="J113" s="30">
        <v>0</v>
      </c>
      <c r="K113" s="32">
        <f>G113*J113</f>
        <v>0</v>
      </c>
      <c r="Z113" s="30">
        <f>IF(AQ113="5",BJ113,0)</f>
        <v>0</v>
      </c>
      <c r="AB113" s="30">
        <f>IF(AQ113="1",BH113,0)</f>
        <v>0</v>
      </c>
      <c r="AC113" s="30">
        <f>IF(AQ113="1",BI113,0)</f>
        <v>0</v>
      </c>
      <c r="AD113" s="30">
        <f>IF(AQ113="7",BH113,0)</f>
        <v>0</v>
      </c>
      <c r="AE113" s="30">
        <f>IF(AQ113="7",BI113,0)</f>
        <v>0</v>
      </c>
      <c r="AF113" s="30">
        <f>IF(AQ113="2",BH113,0)</f>
        <v>0</v>
      </c>
      <c r="AG113" s="30">
        <f>IF(AQ113="2",BI113,0)</f>
        <v>0</v>
      </c>
      <c r="AH113" s="30">
        <f>IF(AQ113="0",BJ113,0)</f>
        <v>0</v>
      </c>
      <c r="AI113" s="10" t="s">
        <v>49</v>
      </c>
      <c r="AJ113" s="30">
        <f>IF(AN113=0,I113,0)</f>
        <v>0</v>
      </c>
      <c r="AK113" s="30">
        <f>IF(AN113=12,I113,0)</f>
        <v>0</v>
      </c>
      <c r="AL113" s="30">
        <f>IF(AN113=21,I113,0)</f>
        <v>0</v>
      </c>
      <c r="AN113" s="30">
        <v>21</v>
      </c>
      <c r="AO113" s="30">
        <f>H113*0</f>
        <v>0</v>
      </c>
      <c r="AP113" s="30">
        <f>H113*(1-0)</f>
        <v>0</v>
      </c>
      <c r="AQ113" s="33" t="s">
        <v>53</v>
      </c>
      <c r="AV113" s="30">
        <f>AW113+AX113</f>
        <v>0</v>
      </c>
      <c r="AW113" s="30">
        <f>G113*AO113</f>
        <v>0</v>
      </c>
      <c r="AX113" s="30">
        <f>G113*AP113</f>
        <v>0</v>
      </c>
      <c r="AY113" s="33" t="s">
        <v>326</v>
      </c>
      <c r="AZ113" s="33" t="s">
        <v>327</v>
      </c>
      <c r="BA113" s="10" t="s">
        <v>59</v>
      </c>
      <c r="BC113" s="30">
        <f>AW113+AX113</f>
        <v>0</v>
      </c>
      <c r="BD113" s="30">
        <f>H113/(100-BE113)*100</f>
        <v>0</v>
      </c>
      <c r="BE113" s="30">
        <v>0</v>
      </c>
      <c r="BF113" s="30">
        <f>K113</f>
        <v>0</v>
      </c>
      <c r="BH113" s="30">
        <f>G113*AO113</f>
        <v>0</v>
      </c>
      <c r="BI113" s="30">
        <f>G113*AP113</f>
        <v>0</v>
      </c>
      <c r="BJ113" s="30">
        <f>G113*H113</f>
        <v>0</v>
      </c>
      <c r="BK113" s="30"/>
      <c r="BL113" s="30">
        <v>91</v>
      </c>
      <c r="BW113" s="30">
        <v>21</v>
      </c>
      <c r="BX113" s="4" t="s">
        <v>345</v>
      </c>
    </row>
    <row r="114" spans="1:76" ht="25.5">
      <c r="A114" s="2" t="s">
        <v>346</v>
      </c>
      <c r="B114" s="3" t="s">
        <v>49</v>
      </c>
      <c r="C114" s="3" t="s">
        <v>347</v>
      </c>
      <c r="D114" s="116" t="s">
        <v>348</v>
      </c>
      <c r="E114" s="111"/>
      <c r="F114" s="3" t="s">
        <v>332</v>
      </c>
      <c r="G114" s="30">
        <v>1</v>
      </c>
      <c r="H114" s="31">
        <v>0</v>
      </c>
      <c r="I114" s="30">
        <f>G114*H114</f>
        <v>0</v>
      </c>
      <c r="J114" s="30">
        <v>0</v>
      </c>
      <c r="K114" s="32">
        <f>G114*J114</f>
        <v>0</v>
      </c>
      <c r="Z114" s="30">
        <f>IF(AQ114="5",BJ114,0)</f>
        <v>0</v>
      </c>
      <c r="AB114" s="30">
        <f>IF(AQ114="1",BH114,0)</f>
        <v>0</v>
      </c>
      <c r="AC114" s="30">
        <f>IF(AQ114="1",BI114,0)</f>
        <v>0</v>
      </c>
      <c r="AD114" s="30">
        <f>IF(AQ114="7",BH114,0)</f>
        <v>0</v>
      </c>
      <c r="AE114" s="30">
        <f>IF(AQ114="7",BI114,0)</f>
        <v>0</v>
      </c>
      <c r="AF114" s="30">
        <f>IF(AQ114="2",BH114,0)</f>
        <v>0</v>
      </c>
      <c r="AG114" s="30">
        <f>IF(AQ114="2",BI114,0)</f>
        <v>0</v>
      </c>
      <c r="AH114" s="30">
        <f>IF(AQ114="0",BJ114,0)</f>
        <v>0</v>
      </c>
      <c r="AI114" s="10" t="s">
        <v>49</v>
      </c>
      <c r="AJ114" s="30">
        <f>IF(AN114=0,I114,0)</f>
        <v>0</v>
      </c>
      <c r="AK114" s="30">
        <f>IF(AN114=12,I114,0)</f>
        <v>0</v>
      </c>
      <c r="AL114" s="30">
        <f>IF(AN114=21,I114,0)</f>
        <v>0</v>
      </c>
      <c r="AN114" s="30">
        <v>21</v>
      </c>
      <c r="AO114" s="30">
        <f>H114*0</f>
        <v>0</v>
      </c>
      <c r="AP114" s="30">
        <f>H114*(1-0)</f>
        <v>0</v>
      </c>
      <c r="AQ114" s="33" t="s">
        <v>53</v>
      </c>
      <c r="AV114" s="30">
        <f>AW114+AX114</f>
        <v>0</v>
      </c>
      <c r="AW114" s="30">
        <f>G114*AO114</f>
        <v>0</v>
      </c>
      <c r="AX114" s="30">
        <f>G114*AP114</f>
        <v>0</v>
      </c>
      <c r="AY114" s="33" t="s">
        <v>326</v>
      </c>
      <c r="AZ114" s="33" t="s">
        <v>327</v>
      </c>
      <c r="BA114" s="10" t="s">
        <v>59</v>
      </c>
      <c r="BC114" s="30">
        <f>AW114+AX114</f>
        <v>0</v>
      </c>
      <c r="BD114" s="30">
        <f>H114/(100-BE114)*100</f>
        <v>0</v>
      </c>
      <c r="BE114" s="30">
        <v>0</v>
      </c>
      <c r="BF114" s="30">
        <f>K114</f>
        <v>0</v>
      </c>
      <c r="BH114" s="30">
        <f>G114*AO114</f>
        <v>0</v>
      </c>
      <c r="BI114" s="30">
        <f>G114*AP114</f>
        <v>0</v>
      </c>
      <c r="BJ114" s="30">
        <f>G114*H114</f>
        <v>0</v>
      </c>
      <c r="BK114" s="30"/>
      <c r="BL114" s="30">
        <v>91</v>
      </c>
      <c r="BW114" s="30">
        <v>21</v>
      </c>
      <c r="BX114" s="4" t="s">
        <v>348</v>
      </c>
    </row>
    <row r="115" spans="1:76" ht="15">
      <c r="A115" s="2" t="s">
        <v>349</v>
      </c>
      <c r="B115" s="3" t="s">
        <v>49</v>
      </c>
      <c r="C115" s="3" t="s">
        <v>350</v>
      </c>
      <c r="D115" s="116" t="s">
        <v>351</v>
      </c>
      <c r="E115" s="111"/>
      <c r="F115" s="3" t="s">
        <v>332</v>
      </c>
      <c r="G115" s="30">
        <v>1</v>
      </c>
      <c r="H115" s="31">
        <v>0</v>
      </c>
      <c r="I115" s="30">
        <f>G115*H115</f>
        <v>0</v>
      </c>
      <c r="J115" s="30">
        <v>0</v>
      </c>
      <c r="K115" s="32">
        <f>G115*J115</f>
        <v>0</v>
      </c>
      <c r="Z115" s="30">
        <f>IF(AQ115="5",BJ115,0)</f>
        <v>0</v>
      </c>
      <c r="AB115" s="30">
        <f>IF(AQ115="1",BH115,0)</f>
        <v>0</v>
      </c>
      <c r="AC115" s="30">
        <f>IF(AQ115="1",BI115,0)</f>
        <v>0</v>
      </c>
      <c r="AD115" s="30">
        <f>IF(AQ115="7",BH115,0)</f>
        <v>0</v>
      </c>
      <c r="AE115" s="30">
        <f>IF(AQ115="7",BI115,0)</f>
        <v>0</v>
      </c>
      <c r="AF115" s="30">
        <f>IF(AQ115="2",BH115,0)</f>
        <v>0</v>
      </c>
      <c r="AG115" s="30">
        <f>IF(AQ115="2",BI115,0)</f>
        <v>0</v>
      </c>
      <c r="AH115" s="30">
        <f>IF(AQ115="0",BJ115,0)</f>
        <v>0</v>
      </c>
      <c r="AI115" s="10" t="s">
        <v>49</v>
      </c>
      <c r="AJ115" s="30">
        <f>IF(AN115=0,I115,0)</f>
        <v>0</v>
      </c>
      <c r="AK115" s="30">
        <f>IF(AN115=12,I115,0)</f>
        <v>0</v>
      </c>
      <c r="AL115" s="30">
        <f>IF(AN115=21,I115,0)</f>
        <v>0</v>
      </c>
      <c r="AN115" s="30">
        <v>21</v>
      </c>
      <c r="AO115" s="30">
        <f>H115*0</f>
        <v>0</v>
      </c>
      <c r="AP115" s="30">
        <f>H115*(1-0)</f>
        <v>0</v>
      </c>
      <c r="AQ115" s="33" t="s">
        <v>53</v>
      </c>
      <c r="AV115" s="30">
        <f>AW115+AX115</f>
        <v>0</v>
      </c>
      <c r="AW115" s="30">
        <f>G115*AO115</f>
        <v>0</v>
      </c>
      <c r="AX115" s="30">
        <f>G115*AP115</f>
        <v>0</v>
      </c>
      <c r="AY115" s="33" t="s">
        <v>326</v>
      </c>
      <c r="AZ115" s="33" t="s">
        <v>327</v>
      </c>
      <c r="BA115" s="10" t="s">
        <v>59</v>
      </c>
      <c r="BC115" s="30">
        <f>AW115+AX115</f>
        <v>0</v>
      </c>
      <c r="BD115" s="30">
        <f>H115/(100-BE115)*100</f>
        <v>0</v>
      </c>
      <c r="BE115" s="30">
        <v>0</v>
      </c>
      <c r="BF115" s="30">
        <f>K115</f>
        <v>0</v>
      </c>
      <c r="BH115" s="30">
        <f>G115*AO115</f>
        <v>0</v>
      </c>
      <c r="BI115" s="30">
        <f>G115*AP115</f>
        <v>0</v>
      </c>
      <c r="BJ115" s="30">
        <f>G115*H115</f>
        <v>0</v>
      </c>
      <c r="BK115" s="30"/>
      <c r="BL115" s="30">
        <v>91</v>
      </c>
      <c r="BW115" s="30">
        <v>21</v>
      </c>
      <c r="BX115" s="4" t="s">
        <v>351</v>
      </c>
    </row>
    <row r="116" spans="1:76" ht="15">
      <c r="A116" s="2" t="s">
        <v>352</v>
      </c>
      <c r="B116" s="3" t="s">
        <v>49</v>
      </c>
      <c r="C116" s="3" t="s">
        <v>353</v>
      </c>
      <c r="D116" s="116" t="s">
        <v>354</v>
      </c>
      <c r="E116" s="111"/>
      <c r="F116" s="3" t="s">
        <v>332</v>
      </c>
      <c r="G116" s="30">
        <v>1</v>
      </c>
      <c r="H116" s="31">
        <v>0</v>
      </c>
      <c r="I116" s="30">
        <f>G116*H116</f>
        <v>0</v>
      </c>
      <c r="J116" s="30">
        <v>0</v>
      </c>
      <c r="K116" s="32">
        <f>G116*J116</f>
        <v>0</v>
      </c>
      <c r="Z116" s="30">
        <f>IF(AQ116="5",BJ116,0)</f>
        <v>0</v>
      </c>
      <c r="AB116" s="30">
        <f>IF(AQ116="1",BH116,0)</f>
        <v>0</v>
      </c>
      <c r="AC116" s="30">
        <f>IF(AQ116="1",BI116,0)</f>
        <v>0</v>
      </c>
      <c r="AD116" s="30">
        <f>IF(AQ116="7",BH116,0)</f>
        <v>0</v>
      </c>
      <c r="AE116" s="30">
        <f>IF(AQ116="7",BI116,0)</f>
        <v>0</v>
      </c>
      <c r="AF116" s="30">
        <f>IF(AQ116="2",BH116,0)</f>
        <v>0</v>
      </c>
      <c r="AG116" s="30">
        <f>IF(AQ116="2",BI116,0)</f>
        <v>0</v>
      </c>
      <c r="AH116" s="30">
        <f>IF(AQ116="0",BJ116,0)</f>
        <v>0</v>
      </c>
      <c r="AI116" s="10" t="s">
        <v>49</v>
      </c>
      <c r="AJ116" s="30">
        <f>IF(AN116=0,I116,0)</f>
        <v>0</v>
      </c>
      <c r="AK116" s="30">
        <f>IF(AN116=12,I116,0)</f>
        <v>0</v>
      </c>
      <c r="AL116" s="30">
        <f>IF(AN116=21,I116,0)</f>
        <v>0</v>
      </c>
      <c r="AN116" s="30">
        <v>21</v>
      </c>
      <c r="AO116" s="30">
        <f>H116*0</f>
        <v>0</v>
      </c>
      <c r="AP116" s="30">
        <f>H116*(1-0)</f>
        <v>0</v>
      </c>
      <c r="AQ116" s="33" t="s">
        <v>53</v>
      </c>
      <c r="AV116" s="30">
        <f>AW116+AX116</f>
        <v>0</v>
      </c>
      <c r="AW116" s="30">
        <f>G116*AO116</f>
        <v>0</v>
      </c>
      <c r="AX116" s="30">
        <f>G116*AP116</f>
        <v>0</v>
      </c>
      <c r="AY116" s="33" t="s">
        <v>326</v>
      </c>
      <c r="AZ116" s="33" t="s">
        <v>327</v>
      </c>
      <c r="BA116" s="10" t="s">
        <v>59</v>
      </c>
      <c r="BC116" s="30">
        <f>AW116+AX116</f>
        <v>0</v>
      </c>
      <c r="BD116" s="30">
        <f>H116/(100-BE116)*100</f>
        <v>0</v>
      </c>
      <c r="BE116" s="30">
        <v>0</v>
      </c>
      <c r="BF116" s="30">
        <f>K116</f>
        <v>0</v>
      </c>
      <c r="BH116" s="30">
        <f>G116*AO116</f>
        <v>0</v>
      </c>
      <c r="BI116" s="30">
        <f>G116*AP116</f>
        <v>0</v>
      </c>
      <c r="BJ116" s="30">
        <f>G116*H116</f>
        <v>0</v>
      </c>
      <c r="BK116" s="30"/>
      <c r="BL116" s="30">
        <v>91</v>
      </c>
      <c r="BW116" s="30">
        <v>21</v>
      </c>
      <c r="BX116" s="4" t="s">
        <v>354</v>
      </c>
    </row>
    <row r="117" spans="1:11" ht="13.5" customHeight="1">
      <c r="A117" s="34"/>
      <c r="C117" s="35" t="s">
        <v>231</v>
      </c>
      <c r="D117" s="137" t="s">
        <v>355</v>
      </c>
      <c r="E117" s="138"/>
      <c r="F117" s="138"/>
      <c r="G117" s="138"/>
      <c r="H117" s="139"/>
      <c r="I117" s="138"/>
      <c r="J117" s="138"/>
      <c r="K117" s="140"/>
    </row>
    <row r="118" spans="1:47" ht="15">
      <c r="A118" s="25" t="s">
        <v>48</v>
      </c>
      <c r="B118" s="26" t="s">
        <v>49</v>
      </c>
      <c r="C118" s="26" t="s">
        <v>356</v>
      </c>
      <c r="D118" s="135" t="s">
        <v>357</v>
      </c>
      <c r="E118" s="136"/>
      <c r="F118" s="27" t="s">
        <v>4</v>
      </c>
      <c r="G118" s="27" t="s">
        <v>4</v>
      </c>
      <c r="H118" s="28" t="s">
        <v>4</v>
      </c>
      <c r="I118" s="1">
        <f>SUM(I119:I119)</f>
        <v>0</v>
      </c>
      <c r="J118" s="10" t="s">
        <v>48</v>
      </c>
      <c r="K118" s="29">
        <f>SUM(K119:K119)</f>
        <v>0.0031160000000000003</v>
      </c>
      <c r="AI118" s="10" t="s">
        <v>49</v>
      </c>
      <c r="AS118" s="1">
        <f>SUM(AJ119:AJ119)</f>
        <v>0</v>
      </c>
      <c r="AT118" s="1">
        <f>SUM(AK119:AK119)</f>
        <v>0</v>
      </c>
      <c r="AU118" s="1">
        <f>SUM(AL119:AL119)</f>
        <v>0</v>
      </c>
    </row>
    <row r="119" spans="1:76" ht="15">
      <c r="A119" s="2" t="s">
        <v>358</v>
      </c>
      <c r="B119" s="3" t="s">
        <v>49</v>
      </c>
      <c r="C119" s="3" t="s">
        <v>359</v>
      </c>
      <c r="D119" s="116" t="s">
        <v>360</v>
      </c>
      <c r="E119" s="111"/>
      <c r="F119" s="3" t="s">
        <v>69</v>
      </c>
      <c r="G119" s="30">
        <v>7.79</v>
      </c>
      <c r="H119" s="31">
        <v>0</v>
      </c>
      <c r="I119" s="30">
        <f>G119*H119</f>
        <v>0</v>
      </c>
      <c r="J119" s="30">
        <v>0.0004</v>
      </c>
      <c r="K119" s="32">
        <f>G119*J119</f>
        <v>0.0031160000000000003</v>
      </c>
      <c r="Z119" s="30">
        <f>IF(AQ119="5",BJ119,0)</f>
        <v>0</v>
      </c>
      <c r="AB119" s="30">
        <f>IF(AQ119="1",BH119,0)</f>
        <v>0</v>
      </c>
      <c r="AC119" s="30">
        <f>IF(AQ119="1",BI119,0)</f>
        <v>0</v>
      </c>
      <c r="AD119" s="30">
        <f>IF(AQ119="7",BH119,0)</f>
        <v>0</v>
      </c>
      <c r="AE119" s="30">
        <f>IF(AQ119="7",BI119,0)</f>
        <v>0</v>
      </c>
      <c r="AF119" s="30">
        <f>IF(AQ119="2",BH119,0)</f>
        <v>0</v>
      </c>
      <c r="AG119" s="30">
        <f>IF(AQ119="2",BI119,0)</f>
        <v>0</v>
      </c>
      <c r="AH119" s="30">
        <f>IF(AQ119="0",BJ119,0)</f>
        <v>0</v>
      </c>
      <c r="AI119" s="10" t="s">
        <v>49</v>
      </c>
      <c r="AJ119" s="30">
        <f>IF(AN119=0,I119,0)</f>
        <v>0</v>
      </c>
      <c r="AK119" s="30">
        <f>IF(AN119=12,I119,0)</f>
        <v>0</v>
      </c>
      <c r="AL119" s="30">
        <f>IF(AN119=21,I119,0)</f>
        <v>0</v>
      </c>
      <c r="AN119" s="30">
        <v>21</v>
      </c>
      <c r="AO119" s="30">
        <f>H119*0</f>
        <v>0</v>
      </c>
      <c r="AP119" s="30">
        <f>H119*(1-0)</f>
        <v>0</v>
      </c>
      <c r="AQ119" s="33" t="s">
        <v>53</v>
      </c>
      <c r="AV119" s="30">
        <f>AW119+AX119</f>
        <v>0</v>
      </c>
      <c r="AW119" s="30">
        <f>G119*AO119</f>
        <v>0</v>
      </c>
      <c r="AX119" s="30">
        <f>G119*AP119</f>
        <v>0</v>
      </c>
      <c r="AY119" s="33" t="s">
        <v>361</v>
      </c>
      <c r="AZ119" s="33" t="s">
        <v>327</v>
      </c>
      <c r="BA119" s="10" t="s">
        <v>59</v>
      </c>
      <c r="BC119" s="30">
        <f>AW119+AX119</f>
        <v>0</v>
      </c>
      <c r="BD119" s="30">
        <f>H119/(100-BE119)*100</f>
        <v>0</v>
      </c>
      <c r="BE119" s="30">
        <v>0</v>
      </c>
      <c r="BF119" s="30">
        <f>K119</f>
        <v>0.0031160000000000003</v>
      </c>
      <c r="BH119" s="30">
        <f>G119*AO119</f>
        <v>0</v>
      </c>
      <c r="BI119" s="30">
        <f>G119*AP119</f>
        <v>0</v>
      </c>
      <c r="BJ119" s="30">
        <f>G119*H119</f>
        <v>0</v>
      </c>
      <c r="BK119" s="30"/>
      <c r="BL119" s="30">
        <v>96</v>
      </c>
      <c r="BW119" s="30">
        <v>21</v>
      </c>
      <c r="BX119" s="4" t="s">
        <v>360</v>
      </c>
    </row>
    <row r="120" spans="1:47" ht="15">
      <c r="A120" s="25" t="s">
        <v>48</v>
      </c>
      <c r="B120" s="26" t="s">
        <v>49</v>
      </c>
      <c r="C120" s="26" t="s">
        <v>362</v>
      </c>
      <c r="D120" s="135" t="s">
        <v>363</v>
      </c>
      <c r="E120" s="136"/>
      <c r="F120" s="27" t="s">
        <v>4</v>
      </c>
      <c r="G120" s="27" t="s">
        <v>4</v>
      </c>
      <c r="H120" s="28" t="s">
        <v>4</v>
      </c>
      <c r="I120" s="1">
        <f>SUM(I121:I121)</f>
        <v>0</v>
      </c>
      <c r="J120" s="10" t="s">
        <v>48</v>
      </c>
      <c r="K120" s="29">
        <f>SUM(K121:K121)</f>
        <v>0.216</v>
      </c>
      <c r="AI120" s="10" t="s">
        <v>49</v>
      </c>
      <c r="AS120" s="1">
        <f>SUM(AJ121:AJ121)</f>
        <v>0</v>
      </c>
      <c r="AT120" s="1">
        <f>SUM(AK121:AK121)</f>
        <v>0</v>
      </c>
      <c r="AU120" s="1">
        <f>SUM(AL121:AL121)</f>
        <v>0</v>
      </c>
    </row>
    <row r="121" spans="1:76" ht="15">
      <c r="A121" s="2" t="s">
        <v>364</v>
      </c>
      <c r="B121" s="3" t="s">
        <v>49</v>
      </c>
      <c r="C121" s="3" t="s">
        <v>365</v>
      </c>
      <c r="D121" s="116" t="s">
        <v>366</v>
      </c>
      <c r="E121" s="111"/>
      <c r="F121" s="3" t="s">
        <v>135</v>
      </c>
      <c r="G121" s="30">
        <v>4</v>
      </c>
      <c r="H121" s="31">
        <v>0</v>
      </c>
      <c r="I121" s="30">
        <f>G121*H121</f>
        <v>0</v>
      </c>
      <c r="J121" s="30">
        <v>0.054</v>
      </c>
      <c r="K121" s="32">
        <f>G121*J121</f>
        <v>0.216</v>
      </c>
      <c r="Z121" s="30">
        <f>IF(AQ121="5",BJ121,0)</f>
        <v>0</v>
      </c>
      <c r="AB121" s="30">
        <f>IF(AQ121="1",BH121,0)</f>
        <v>0</v>
      </c>
      <c r="AC121" s="30">
        <f>IF(AQ121="1",BI121,0)</f>
        <v>0</v>
      </c>
      <c r="AD121" s="30">
        <f>IF(AQ121="7",BH121,0)</f>
        <v>0</v>
      </c>
      <c r="AE121" s="30">
        <f>IF(AQ121="7",BI121,0)</f>
        <v>0</v>
      </c>
      <c r="AF121" s="30">
        <f>IF(AQ121="2",BH121,0)</f>
        <v>0</v>
      </c>
      <c r="AG121" s="30">
        <f>IF(AQ121="2",BI121,0)</f>
        <v>0</v>
      </c>
      <c r="AH121" s="30">
        <f>IF(AQ121="0",BJ121,0)</f>
        <v>0</v>
      </c>
      <c r="AI121" s="10" t="s">
        <v>49</v>
      </c>
      <c r="AJ121" s="30">
        <f>IF(AN121=0,I121,0)</f>
        <v>0</v>
      </c>
      <c r="AK121" s="30">
        <f>IF(AN121=12,I121,0)</f>
        <v>0</v>
      </c>
      <c r="AL121" s="30">
        <f>IF(AN121=21,I121,0)</f>
        <v>0</v>
      </c>
      <c r="AN121" s="30">
        <v>21</v>
      </c>
      <c r="AO121" s="30">
        <f>H121*0</f>
        <v>0</v>
      </c>
      <c r="AP121" s="30">
        <f>H121*(1-0)</f>
        <v>0</v>
      </c>
      <c r="AQ121" s="33" t="s">
        <v>53</v>
      </c>
      <c r="AV121" s="30">
        <f>AW121+AX121</f>
        <v>0</v>
      </c>
      <c r="AW121" s="30">
        <f>G121*AO121</f>
        <v>0</v>
      </c>
      <c r="AX121" s="30">
        <f>G121*AP121</f>
        <v>0</v>
      </c>
      <c r="AY121" s="33" t="s">
        <v>367</v>
      </c>
      <c r="AZ121" s="33" t="s">
        <v>327</v>
      </c>
      <c r="BA121" s="10" t="s">
        <v>59</v>
      </c>
      <c r="BC121" s="30">
        <f>AW121+AX121</f>
        <v>0</v>
      </c>
      <c r="BD121" s="30">
        <f>H121/(100-BE121)*100</f>
        <v>0</v>
      </c>
      <c r="BE121" s="30">
        <v>0</v>
      </c>
      <c r="BF121" s="30">
        <f>K121</f>
        <v>0.216</v>
      </c>
      <c r="BH121" s="30">
        <f>G121*AO121</f>
        <v>0</v>
      </c>
      <c r="BI121" s="30">
        <f>G121*AP121</f>
        <v>0</v>
      </c>
      <c r="BJ121" s="30">
        <f>G121*H121</f>
        <v>0</v>
      </c>
      <c r="BK121" s="30"/>
      <c r="BL121" s="30">
        <v>97</v>
      </c>
      <c r="BW121" s="30">
        <v>21</v>
      </c>
      <c r="BX121" s="4" t="s">
        <v>366</v>
      </c>
    </row>
    <row r="122" spans="1:47" ht="15">
      <c r="A122" s="25" t="s">
        <v>48</v>
      </c>
      <c r="B122" s="26" t="s">
        <v>49</v>
      </c>
      <c r="C122" s="26" t="s">
        <v>368</v>
      </c>
      <c r="D122" s="135" t="s">
        <v>369</v>
      </c>
      <c r="E122" s="136"/>
      <c r="F122" s="27" t="s">
        <v>4</v>
      </c>
      <c r="G122" s="27" t="s">
        <v>4</v>
      </c>
      <c r="H122" s="28" t="s">
        <v>4</v>
      </c>
      <c r="I122" s="1">
        <f>SUM(I123:I123)</f>
        <v>0</v>
      </c>
      <c r="J122" s="10" t="s">
        <v>48</v>
      </c>
      <c r="K122" s="29">
        <f>SUM(K123:K123)</f>
        <v>0</v>
      </c>
      <c r="AI122" s="10" t="s">
        <v>49</v>
      </c>
      <c r="AS122" s="1">
        <f>SUM(AJ123:AJ123)</f>
        <v>0</v>
      </c>
      <c r="AT122" s="1">
        <f>SUM(AK123:AK123)</f>
        <v>0</v>
      </c>
      <c r="AU122" s="1">
        <f>SUM(AL123:AL123)</f>
        <v>0</v>
      </c>
    </row>
    <row r="123" spans="1:76" ht="15">
      <c r="A123" s="2" t="s">
        <v>370</v>
      </c>
      <c r="B123" s="3" t="s">
        <v>49</v>
      </c>
      <c r="C123" s="3" t="s">
        <v>371</v>
      </c>
      <c r="D123" s="116" t="s">
        <v>372</v>
      </c>
      <c r="E123" s="111"/>
      <c r="F123" s="3" t="s">
        <v>102</v>
      </c>
      <c r="G123" s="30">
        <v>328.7131</v>
      </c>
      <c r="H123" s="31">
        <v>0</v>
      </c>
      <c r="I123" s="30">
        <f>G123*H123</f>
        <v>0</v>
      </c>
      <c r="J123" s="30">
        <v>0</v>
      </c>
      <c r="K123" s="32">
        <f>G123*J123</f>
        <v>0</v>
      </c>
      <c r="Z123" s="30">
        <f>IF(AQ123="5",BJ123,0)</f>
        <v>0</v>
      </c>
      <c r="AB123" s="30">
        <f>IF(AQ123="1",BH123,0)</f>
        <v>0</v>
      </c>
      <c r="AC123" s="30">
        <f>IF(AQ123="1",BI123,0)</f>
        <v>0</v>
      </c>
      <c r="AD123" s="30">
        <f>IF(AQ123="7",BH123,0)</f>
        <v>0</v>
      </c>
      <c r="AE123" s="30">
        <f>IF(AQ123="7",BI123,0)</f>
        <v>0</v>
      </c>
      <c r="AF123" s="30">
        <f>IF(AQ123="2",BH123,0)</f>
        <v>0</v>
      </c>
      <c r="AG123" s="30">
        <f>IF(AQ123="2",BI123,0)</f>
        <v>0</v>
      </c>
      <c r="AH123" s="30">
        <f>IF(AQ123="0",BJ123,0)</f>
        <v>0</v>
      </c>
      <c r="AI123" s="10" t="s">
        <v>49</v>
      </c>
      <c r="AJ123" s="30">
        <f>IF(AN123=0,I123,0)</f>
        <v>0</v>
      </c>
      <c r="AK123" s="30">
        <f>IF(AN123=12,I123,0)</f>
        <v>0</v>
      </c>
      <c r="AL123" s="30">
        <f>IF(AN123=21,I123,0)</f>
        <v>0</v>
      </c>
      <c r="AN123" s="30">
        <v>21</v>
      </c>
      <c r="AO123" s="30">
        <f>H123*0</f>
        <v>0</v>
      </c>
      <c r="AP123" s="30">
        <f>H123*(1-0)</f>
        <v>0</v>
      </c>
      <c r="AQ123" s="33" t="s">
        <v>72</v>
      </c>
      <c r="AV123" s="30">
        <f>AW123+AX123</f>
        <v>0</v>
      </c>
      <c r="AW123" s="30">
        <f>G123*AO123</f>
        <v>0</v>
      </c>
      <c r="AX123" s="30">
        <f>G123*AP123</f>
        <v>0</v>
      </c>
      <c r="AY123" s="33" t="s">
        <v>373</v>
      </c>
      <c r="AZ123" s="33" t="s">
        <v>327</v>
      </c>
      <c r="BA123" s="10" t="s">
        <v>59</v>
      </c>
      <c r="BC123" s="30">
        <f>AW123+AX123</f>
        <v>0</v>
      </c>
      <c r="BD123" s="30">
        <f>H123/(100-BE123)*100</f>
        <v>0</v>
      </c>
      <c r="BE123" s="30">
        <v>0</v>
      </c>
      <c r="BF123" s="30">
        <f>K123</f>
        <v>0</v>
      </c>
      <c r="BH123" s="30">
        <f>G123*AO123</f>
        <v>0</v>
      </c>
      <c r="BI123" s="30">
        <f>G123*AP123</f>
        <v>0</v>
      </c>
      <c r="BJ123" s="30">
        <f>G123*H123</f>
        <v>0</v>
      </c>
      <c r="BK123" s="30"/>
      <c r="BL123" s="30"/>
      <c r="BW123" s="30">
        <v>21</v>
      </c>
      <c r="BX123" s="4" t="s">
        <v>372</v>
      </c>
    </row>
    <row r="124" spans="1:47" ht="15">
      <c r="A124" s="36" t="s">
        <v>48</v>
      </c>
      <c r="B124" s="37" t="s">
        <v>49</v>
      </c>
      <c r="C124" s="37" t="s">
        <v>374</v>
      </c>
      <c r="D124" s="141" t="s">
        <v>375</v>
      </c>
      <c r="E124" s="142"/>
      <c r="F124" s="38" t="s">
        <v>4</v>
      </c>
      <c r="G124" s="38" t="s">
        <v>4</v>
      </c>
      <c r="H124" s="39" t="s">
        <v>4</v>
      </c>
      <c r="I124" s="40">
        <f>SUM(I125:I130)</f>
        <v>0</v>
      </c>
      <c r="J124" s="41" t="s">
        <v>48</v>
      </c>
      <c r="K124" s="42">
        <f>SUM(K125:K130)</f>
        <v>0</v>
      </c>
      <c r="AI124" s="10" t="s">
        <v>49</v>
      </c>
      <c r="AS124" s="1">
        <f>SUM(AJ125:AJ130)</f>
        <v>0</v>
      </c>
      <c r="AT124" s="1">
        <f>SUM(AK125:AK130)</f>
        <v>0</v>
      </c>
      <c r="AU124" s="1">
        <f>SUM(AL125:AL130)</f>
        <v>0</v>
      </c>
    </row>
    <row r="125" spans="1:76" ht="15">
      <c r="A125" s="43" t="s">
        <v>376</v>
      </c>
      <c r="B125" s="44" t="s">
        <v>49</v>
      </c>
      <c r="C125" s="44" t="s">
        <v>377</v>
      </c>
      <c r="D125" s="143" t="s">
        <v>378</v>
      </c>
      <c r="E125" s="144"/>
      <c r="F125" s="44" t="s">
        <v>102</v>
      </c>
      <c r="G125" s="45">
        <v>286.2728</v>
      </c>
      <c r="H125" s="46">
        <v>0</v>
      </c>
      <c r="I125" s="45">
        <f aca="true" t="shared" si="46" ref="I125:I130">G125*H125</f>
        <v>0</v>
      </c>
      <c r="J125" s="45">
        <v>0</v>
      </c>
      <c r="K125" s="47">
        <f aca="true" t="shared" si="47" ref="K125:K130">G125*J125</f>
        <v>0</v>
      </c>
      <c r="Z125" s="30">
        <f aca="true" t="shared" si="48" ref="Z125:Z130">IF(AQ125="5",BJ125,0)</f>
        <v>0</v>
      </c>
      <c r="AB125" s="30">
        <f aca="true" t="shared" si="49" ref="AB125:AB130">IF(AQ125="1",BH125,0)</f>
        <v>0</v>
      </c>
      <c r="AC125" s="30">
        <f aca="true" t="shared" si="50" ref="AC125:AC130">IF(AQ125="1",BI125,0)</f>
        <v>0</v>
      </c>
      <c r="AD125" s="30">
        <f aca="true" t="shared" si="51" ref="AD125:AD130">IF(AQ125="7",BH125,0)</f>
        <v>0</v>
      </c>
      <c r="AE125" s="30">
        <f aca="true" t="shared" si="52" ref="AE125:AE130">IF(AQ125="7",BI125,0)</f>
        <v>0</v>
      </c>
      <c r="AF125" s="30">
        <f aca="true" t="shared" si="53" ref="AF125:AF130">IF(AQ125="2",BH125,0)</f>
        <v>0</v>
      </c>
      <c r="AG125" s="30">
        <f aca="true" t="shared" si="54" ref="AG125:AG130">IF(AQ125="2",BI125,0)</f>
        <v>0</v>
      </c>
      <c r="AH125" s="30">
        <f aca="true" t="shared" si="55" ref="AH125:AH130">IF(AQ125="0",BJ125,0)</f>
        <v>0</v>
      </c>
      <c r="AI125" s="10" t="s">
        <v>49</v>
      </c>
      <c r="AJ125" s="30">
        <f aca="true" t="shared" si="56" ref="AJ125:AJ130">IF(AN125=0,I125,0)</f>
        <v>0</v>
      </c>
      <c r="AK125" s="30">
        <f aca="true" t="shared" si="57" ref="AK125:AK130">IF(AN125=12,I125,0)</f>
        <v>0</v>
      </c>
      <c r="AL125" s="30">
        <f aca="true" t="shared" si="58" ref="AL125:AL130">IF(AN125=21,I125,0)</f>
        <v>0</v>
      </c>
      <c r="AN125" s="30">
        <v>21</v>
      </c>
      <c r="AO125" s="30">
        <f aca="true" t="shared" si="59" ref="AO125:AO130">H125*0</f>
        <v>0</v>
      </c>
      <c r="AP125" s="30">
        <f aca="true" t="shared" si="60" ref="AP125:AP130">H125*(1-0)</f>
        <v>0</v>
      </c>
      <c r="AQ125" s="33" t="s">
        <v>72</v>
      </c>
      <c r="AV125" s="30">
        <f aca="true" t="shared" si="61" ref="AV125:AV130">AW125+AX125</f>
        <v>0</v>
      </c>
      <c r="AW125" s="30">
        <f aca="true" t="shared" si="62" ref="AW125:AW130">G125*AO125</f>
        <v>0</v>
      </c>
      <c r="AX125" s="30">
        <f aca="true" t="shared" si="63" ref="AX125:AX130">G125*AP125</f>
        <v>0</v>
      </c>
      <c r="AY125" s="33" t="s">
        <v>379</v>
      </c>
      <c r="AZ125" s="33" t="s">
        <v>327</v>
      </c>
      <c r="BA125" s="10" t="s">
        <v>59</v>
      </c>
      <c r="BC125" s="30">
        <f aca="true" t="shared" si="64" ref="BC125:BC130">AW125+AX125</f>
        <v>0</v>
      </c>
      <c r="BD125" s="30">
        <f aca="true" t="shared" si="65" ref="BD125:BD130">H125/(100-BE125)*100</f>
        <v>0</v>
      </c>
      <c r="BE125" s="30">
        <v>0</v>
      </c>
      <c r="BF125" s="30">
        <f aca="true" t="shared" si="66" ref="BF125:BF130">K125</f>
        <v>0</v>
      </c>
      <c r="BH125" s="30">
        <f aca="true" t="shared" si="67" ref="BH125:BH130">G125*AO125</f>
        <v>0</v>
      </c>
      <c r="BI125" s="30">
        <f aca="true" t="shared" si="68" ref="BI125:BI130">G125*AP125</f>
        <v>0</v>
      </c>
      <c r="BJ125" s="30">
        <f aca="true" t="shared" si="69" ref="BJ125:BJ130">G125*H125</f>
        <v>0</v>
      </c>
      <c r="BK125" s="30"/>
      <c r="BL125" s="30"/>
      <c r="BW125" s="30">
        <v>21</v>
      </c>
      <c r="BX125" s="4" t="s">
        <v>378</v>
      </c>
    </row>
    <row r="126" spans="1:76" ht="15">
      <c r="A126" s="48" t="s">
        <v>380</v>
      </c>
      <c r="B126" s="49" t="s">
        <v>49</v>
      </c>
      <c r="C126" s="49" t="s">
        <v>381</v>
      </c>
      <c r="D126" s="145" t="s">
        <v>382</v>
      </c>
      <c r="E126" s="146"/>
      <c r="F126" s="49" t="s">
        <v>102</v>
      </c>
      <c r="G126" s="50">
        <v>286.2728</v>
      </c>
      <c r="H126" s="51">
        <v>0</v>
      </c>
      <c r="I126" s="50">
        <f t="shared" si="46"/>
        <v>0</v>
      </c>
      <c r="J126" s="50">
        <v>0</v>
      </c>
      <c r="K126" s="52">
        <f t="shared" si="47"/>
        <v>0</v>
      </c>
      <c r="Z126" s="30">
        <f t="shared" si="48"/>
        <v>0</v>
      </c>
      <c r="AB126" s="30">
        <f t="shared" si="49"/>
        <v>0</v>
      </c>
      <c r="AC126" s="30">
        <f t="shared" si="50"/>
        <v>0</v>
      </c>
      <c r="AD126" s="30">
        <f t="shared" si="51"/>
        <v>0</v>
      </c>
      <c r="AE126" s="30">
        <f t="shared" si="52"/>
        <v>0</v>
      </c>
      <c r="AF126" s="30">
        <f t="shared" si="53"/>
        <v>0</v>
      </c>
      <c r="AG126" s="30">
        <f t="shared" si="54"/>
        <v>0</v>
      </c>
      <c r="AH126" s="30">
        <f t="shared" si="55"/>
        <v>0</v>
      </c>
      <c r="AI126" s="10" t="s">
        <v>49</v>
      </c>
      <c r="AJ126" s="30">
        <f t="shared" si="56"/>
        <v>0</v>
      </c>
      <c r="AK126" s="30">
        <f t="shared" si="57"/>
        <v>0</v>
      </c>
      <c r="AL126" s="30">
        <f t="shared" si="58"/>
        <v>0</v>
      </c>
      <c r="AN126" s="30">
        <v>21</v>
      </c>
      <c r="AO126" s="30">
        <f t="shared" si="59"/>
        <v>0</v>
      </c>
      <c r="AP126" s="30">
        <f t="shared" si="60"/>
        <v>0</v>
      </c>
      <c r="AQ126" s="33" t="s">
        <v>72</v>
      </c>
      <c r="AV126" s="30">
        <f t="shared" si="61"/>
        <v>0</v>
      </c>
      <c r="AW126" s="30">
        <f t="shared" si="62"/>
        <v>0</v>
      </c>
      <c r="AX126" s="30">
        <f t="shared" si="63"/>
        <v>0</v>
      </c>
      <c r="AY126" s="33" t="s">
        <v>379</v>
      </c>
      <c r="AZ126" s="33" t="s">
        <v>327</v>
      </c>
      <c r="BA126" s="10" t="s">
        <v>59</v>
      </c>
      <c r="BC126" s="30">
        <f t="shared" si="64"/>
        <v>0</v>
      </c>
      <c r="BD126" s="30">
        <f t="shared" si="65"/>
        <v>0</v>
      </c>
      <c r="BE126" s="30">
        <v>0</v>
      </c>
      <c r="BF126" s="30">
        <f t="shared" si="66"/>
        <v>0</v>
      </c>
      <c r="BH126" s="30">
        <f t="shared" si="67"/>
        <v>0</v>
      </c>
      <c r="BI126" s="30">
        <f t="shared" si="68"/>
        <v>0</v>
      </c>
      <c r="BJ126" s="30">
        <f t="shared" si="69"/>
        <v>0</v>
      </c>
      <c r="BK126" s="30"/>
      <c r="BL126" s="30"/>
      <c r="BW126" s="30">
        <v>21</v>
      </c>
      <c r="BX126" s="4" t="s">
        <v>382</v>
      </c>
    </row>
    <row r="127" spans="1:76" ht="15">
      <c r="A127" s="2" t="s">
        <v>383</v>
      </c>
      <c r="B127" s="3" t="s">
        <v>49</v>
      </c>
      <c r="C127" s="3" t="s">
        <v>384</v>
      </c>
      <c r="D127" s="116" t="s">
        <v>385</v>
      </c>
      <c r="E127" s="111"/>
      <c r="F127" s="3" t="s">
        <v>102</v>
      </c>
      <c r="G127" s="30">
        <v>3149.0008</v>
      </c>
      <c r="H127" s="31">
        <v>0</v>
      </c>
      <c r="I127" s="30">
        <f t="shared" si="46"/>
        <v>0</v>
      </c>
      <c r="J127" s="30">
        <v>0</v>
      </c>
      <c r="K127" s="32">
        <f t="shared" si="47"/>
        <v>0</v>
      </c>
      <c r="Z127" s="30">
        <f t="shared" si="48"/>
        <v>0</v>
      </c>
      <c r="AB127" s="30">
        <f t="shared" si="49"/>
        <v>0</v>
      </c>
      <c r="AC127" s="30">
        <f t="shared" si="50"/>
        <v>0</v>
      </c>
      <c r="AD127" s="30">
        <f t="shared" si="51"/>
        <v>0</v>
      </c>
      <c r="AE127" s="30">
        <f t="shared" si="52"/>
        <v>0</v>
      </c>
      <c r="AF127" s="30">
        <f t="shared" si="53"/>
        <v>0</v>
      </c>
      <c r="AG127" s="30">
        <f t="shared" si="54"/>
        <v>0</v>
      </c>
      <c r="AH127" s="30">
        <f t="shared" si="55"/>
        <v>0</v>
      </c>
      <c r="AI127" s="10" t="s">
        <v>49</v>
      </c>
      <c r="AJ127" s="30">
        <f t="shared" si="56"/>
        <v>0</v>
      </c>
      <c r="AK127" s="30">
        <f t="shared" si="57"/>
        <v>0</v>
      </c>
      <c r="AL127" s="30">
        <f t="shared" si="58"/>
        <v>0</v>
      </c>
      <c r="AN127" s="30">
        <v>21</v>
      </c>
      <c r="AO127" s="30">
        <f t="shared" si="59"/>
        <v>0</v>
      </c>
      <c r="AP127" s="30">
        <f t="shared" si="60"/>
        <v>0</v>
      </c>
      <c r="AQ127" s="33" t="s">
        <v>72</v>
      </c>
      <c r="AV127" s="30">
        <f t="shared" si="61"/>
        <v>0</v>
      </c>
      <c r="AW127" s="30">
        <f t="shared" si="62"/>
        <v>0</v>
      </c>
      <c r="AX127" s="30">
        <f t="shared" si="63"/>
        <v>0</v>
      </c>
      <c r="AY127" s="33" t="s">
        <v>379</v>
      </c>
      <c r="AZ127" s="33" t="s">
        <v>327</v>
      </c>
      <c r="BA127" s="10" t="s">
        <v>59</v>
      </c>
      <c r="BC127" s="30">
        <f t="shared" si="64"/>
        <v>0</v>
      </c>
      <c r="BD127" s="30">
        <f t="shared" si="65"/>
        <v>0</v>
      </c>
      <c r="BE127" s="30">
        <v>0</v>
      </c>
      <c r="BF127" s="30">
        <f t="shared" si="66"/>
        <v>0</v>
      </c>
      <c r="BH127" s="30">
        <f t="shared" si="67"/>
        <v>0</v>
      </c>
      <c r="BI127" s="30">
        <f t="shared" si="68"/>
        <v>0</v>
      </c>
      <c r="BJ127" s="30">
        <f t="shared" si="69"/>
        <v>0</v>
      </c>
      <c r="BK127" s="30"/>
      <c r="BL127" s="30"/>
      <c r="BW127" s="30">
        <v>21</v>
      </c>
      <c r="BX127" s="4" t="s">
        <v>385</v>
      </c>
    </row>
    <row r="128" spans="1:76" ht="15">
      <c r="A128" s="2" t="s">
        <v>386</v>
      </c>
      <c r="B128" s="3" t="s">
        <v>49</v>
      </c>
      <c r="C128" s="3" t="s">
        <v>387</v>
      </c>
      <c r="D128" s="116" t="s">
        <v>388</v>
      </c>
      <c r="E128" s="111"/>
      <c r="F128" s="3" t="s">
        <v>102</v>
      </c>
      <c r="G128" s="30">
        <v>286.2728</v>
      </c>
      <c r="H128" s="31">
        <v>0</v>
      </c>
      <c r="I128" s="30">
        <f t="shared" si="46"/>
        <v>0</v>
      </c>
      <c r="J128" s="30">
        <v>0</v>
      </c>
      <c r="K128" s="32">
        <f t="shared" si="47"/>
        <v>0</v>
      </c>
      <c r="Z128" s="30">
        <f t="shared" si="48"/>
        <v>0</v>
      </c>
      <c r="AB128" s="30">
        <f t="shared" si="49"/>
        <v>0</v>
      </c>
      <c r="AC128" s="30">
        <f t="shared" si="50"/>
        <v>0</v>
      </c>
      <c r="AD128" s="30">
        <f t="shared" si="51"/>
        <v>0</v>
      </c>
      <c r="AE128" s="30">
        <f t="shared" si="52"/>
        <v>0</v>
      </c>
      <c r="AF128" s="30">
        <f t="shared" si="53"/>
        <v>0</v>
      </c>
      <c r="AG128" s="30">
        <f t="shared" si="54"/>
        <v>0</v>
      </c>
      <c r="AH128" s="30">
        <f t="shared" si="55"/>
        <v>0</v>
      </c>
      <c r="AI128" s="10" t="s">
        <v>49</v>
      </c>
      <c r="AJ128" s="30">
        <f t="shared" si="56"/>
        <v>0</v>
      </c>
      <c r="AK128" s="30">
        <f t="shared" si="57"/>
        <v>0</v>
      </c>
      <c r="AL128" s="30">
        <f t="shared" si="58"/>
        <v>0</v>
      </c>
      <c r="AN128" s="30">
        <v>21</v>
      </c>
      <c r="AO128" s="30">
        <f t="shared" si="59"/>
        <v>0</v>
      </c>
      <c r="AP128" s="30">
        <f t="shared" si="60"/>
        <v>0</v>
      </c>
      <c r="AQ128" s="33" t="s">
        <v>72</v>
      </c>
      <c r="AV128" s="30">
        <f t="shared" si="61"/>
        <v>0</v>
      </c>
      <c r="AW128" s="30">
        <f t="shared" si="62"/>
        <v>0</v>
      </c>
      <c r="AX128" s="30">
        <f t="shared" si="63"/>
        <v>0</v>
      </c>
      <c r="AY128" s="33" t="s">
        <v>379</v>
      </c>
      <c r="AZ128" s="33" t="s">
        <v>327</v>
      </c>
      <c r="BA128" s="10" t="s">
        <v>59</v>
      </c>
      <c r="BC128" s="30">
        <f t="shared" si="64"/>
        <v>0</v>
      </c>
      <c r="BD128" s="30">
        <f t="shared" si="65"/>
        <v>0</v>
      </c>
      <c r="BE128" s="30">
        <v>0</v>
      </c>
      <c r="BF128" s="30">
        <f t="shared" si="66"/>
        <v>0</v>
      </c>
      <c r="BH128" s="30">
        <f t="shared" si="67"/>
        <v>0</v>
      </c>
      <c r="BI128" s="30">
        <f t="shared" si="68"/>
        <v>0</v>
      </c>
      <c r="BJ128" s="30">
        <f t="shared" si="69"/>
        <v>0</v>
      </c>
      <c r="BK128" s="30"/>
      <c r="BL128" s="30"/>
      <c r="BW128" s="30">
        <v>21</v>
      </c>
      <c r="BX128" s="4" t="s">
        <v>388</v>
      </c>
    </row>
    <row r="129" spans="1:76" ht="15">
      <c r="A129" s="2" t="s">
        <v>389</v>
      </c>
      <c r="B129" s="3" t="s">
        <v>49</v>
      </c>
      <c r="C129" s="3" t="s">
        <v>390</v>
      </c>
      <c r="D129" s="116" t="s">
        <v>391</v>
      </c>
      <c r="E129" s="111"/>
      <c r="F129" s="3" t="s">
        <v>102</v>
      </c>
      <c r="G129" s="30">
        <v>286.2728</v>
      </c>
      <c r="H129" s="31">
        <v>0</v>
      </c>
      <c r="I129" s="30">
        <f t="shared" si="46"/>
        <v>0</v>
      </c>
      <c r="J129" s="30">
        <v>0</v>
      </c>
      <c r="K129" s="32">
        <f t="shared" si="47"/>
        <v>0</v>
      </c>
      <c r="Z129" s="30">
        <f t="shared" si="48"/>
        <v>0</v>
      </c>
      <c r="AB129" s="30">
        <f t="shared" si="49"/>
        <v>0</v>
      </c>
      <c r="AC129" s="30">
        <f t="shared" si="50"/>
        <v>0</v>
      </c>
      <c r="AD129" s="30">
        <f t="shared" si="51"/>
        <v>0</v>
      </c>
      <c r="AE129" s="30">
        <f t="shared" si="52"/>
        <v>0</v>
      </c>
      <c r="AF129" s="30">
        <f t="shared" si="53"/>
        <v>0</v>
      </c>
      <c r="AG129" s="30">
        <f t="shared" si="54"/>
        <v>0</v>
      </c>
      <c r="AH129" s="30">
        <f t="shared" si="55"/>
        <v>0</v>
      </c>
      <c r="AI129" s="10" t="s">
        <v>49</v>
      </c>
      <c r="AJ129" s="30">
        <f t="shared" si="56"/>
        <v>0</v>
      </c>
      <c r="AK129" s="30">
        <f t="shared" si="57"/>
        <v>0</v>
      </c>
      <c r="AL129" s="30">
        <f t="shared" si="58"/>
        <v>0</v>
      </c>
      <c r="AN129" s="30">
        <v>21</v>
      </c>
      <c r="AO129" s="30">
        <f t="shared" si="59"/>
        <v>0</v>
      </c>
      <c r="AP129" s="30">
        <f t="shared" si="60"/>
        <v>0</v>
      </c>
      <c r="AQ129" s="33" t="s">
        <v>72</v>
      </c>
      <c r="AV129" s="30">
        <f t="shared" si="61"/>
        <v>0</v>
      </c>
      <c r="AW129" s="30">
        <f t="shared" si="62"/>
        <v>0</v>
      </c>
      <c r="AX129" s="30">
        <f t="shared" si="63"/>
        <v>0</v>
      </c>
      <c r="AY129" s="33" t="s">
        <v>379</v>
      </c>
      <c r="AZ129" s="33" t="s">
        <v>327</v>
      </c>
      <c r="BA129" s="10" t="s">
        <v>59</v>
      </c>
      <c r="BC129" s="30">
        <f t="shared" si="64"/>
        <v>0</v>
      </c>
      <c r="BD129" s="30">
        <f t="shared" si="65"/>
        <v>0</v>
      </c>
      <c r="BE129" s="30">
        <v>0</v>
      </c>
      <c r="BF129" s="30">
        <f t="shared" si="66"/>
        <v>0</v>
      </c>
      <c r="BH129" s="30">
        <f t="shared" si="67"/>
        <v>0</v>
      </c>
      <c r="BI129" s="30">
        <f t="shared" si="68"/>
        <v>0</v>
      </c>
      <c r="BJ129" s="30">
        <f t="shared" si="69"/>
        <v>0</v>
      </c>
      <c r="BK129" s="30"/>
      <c r="BL129" s="30"/>
      <c r="BW129" s="30">
        <v>21</v>
      </c>
      <c r="BX129" s="4" t="s">
        <v>391</v>
      </c>
    </row>
    <row r="130" spans="1:76" ht="15">
      <c r="A130" s="2" t="s">
        <v>392</v>
      </c>
      <c r="B130" s="3" t="s">
        <v>49</v>
      </c>
      <c r="C130" s="3" t="s">
        <v>393</v>
      </c>
      <c r="D130" s="116" t="s">
        <v>394</v>
      </c>
      <c r="E130" s="111"/>
      <c r="F130" s="3" t="s">
        <v>102</v>
      </c>
      <c r="G130" s="30">
        <v>286.2728</v>
      </c>
      <c r="H130" s="31">
        <v>0</v>
      </c>
      <c r="I130" s="30">
        <f t="shared" si="46"/>
        <v>0</v>
      </c>
      <c r="J130" s="30">
        <v>0</v>
      </c>
      <c r="K130" s="32">
        <f t="shared" si="47"/>
        <v>0</v>
      </c>
      <c r="Z130" s="30">
        <f t="shared" si="48"/>
        <v>0</v>
      </c>
      <c r="AB130" s="30">
        <f t="shared" si="49"/>
        <v>0</v>
      </c>
      <c r="AC130" s="30">
        <f t="shared" si="50"/>
        <v>0</v>
      </c>
      <c r="AD130" s="30">
        <f t="shared" si="51"/>
        <v>0</v>
      </c>
      <c r="AE130" s="30">
        <f t="shared" si="52"/>
        <v>0</v>
      </c>
      <c r="AF130" s="30">
        <f t="shared" si="53"/>
        <v>0</v>
      </c>
      <c r="AG130" s="30">
        <f t="shared" si="54"/>
        <v>0</v>
      </c>
      <c r="AH130" s="30">
        <f t="shared" si="55"/>
        <v>0</v>
      </c>
      <c r="AI130" s="10" t="s">
        <v>49</v>
      </c>
      <c r="AJ130" s="30">
        <f t="shared" si="56"/>
        <v>0</v>
      </c>
      <c r="AK130" s="30">
        <f t="shared" si="57"/>
        <v>0</v>
      </c>
      <c r="AL130" s="30">
        <f t="shared" si="58"/>
        <v>0</v>
      </c>
      <c r="AN130" s="30">
        <v>21</v>
      </c>
      <c r="AO130" s="30">
        <f t="shared" si="59"/>
        <v>0</v>
      </c>
      <c r="AP130" s="30">
        <f t="shared" si="60"/>
        <v>0</v>
      </c>
      <c r="AQ130" s="33" t="s">
        <v>72</v>
      </c>
      <c r="AV130" s="30">
        <f t="shared" si="61"/>
        <v>0</v>
      </c>
      <c r="AW130" s="30">
        <f t="shared" si="62"/>
        <v>0</v>
      </c>
      <c r="AX130" s="30">
        <f t="shared" si="63"/>
        <v>0</v>
      </c>
      <c r="AY130" s="33" t="s">
        <v>379</v>
      </c>
      <c r="AZ130" s="33" t="s">
        <v>327</v>
      </c>
      <c r="BA130" s="10" t="s">
        <v>59</v>
      </c>
      <c r="BC130" s="30">
        <f t="shared" si="64"/>
        <v>0</v>
      </c>
      <c r="BD130" s="30">
        <f t="shared" si="65"/>
        <v>0</v>
      </c>
      <c r="BE130" s="30">
        <v>0</v>
      </c>
      <c r="BF130" s="30">
        <f t="shared" si="66"/>
        <v>0</v>
      </c>
      <c r="BH130" s="30">
        <f t="shared" si="67"/>
        <v>0</v>
      </c>
      <c r="BI130" s="30">
        <f t="shared" si="68"/>
        <v>0</v>
      </c>
      <c r="BJ130" s="30">
        <f t="shared" si="69"/>
        <v>0</v>
      </c>
      <c r="BK130" s="30"/>
      <c r="BL130" s="30"/>
      <c r="BW130" s="30">
        <v>21</v>
      </c>
      <c r="BX130" s="4" t="s">
        <v>394</v>
      </c>
    </row>
    <row r="131" spans="1:11" ht="15">
      <c r="A131" s="25" t="s">
        <v>48</v>
      </c>
      <c r="B131" s="26" t="s">
        <v>395</v>
      </c>
      <c r="C131" s="26" t="s">
        <v>48</v>
      </c>
      <c r="D131" s="135" t="s">
        <v>396</v>
      </c>
      <c r="E131" s="136"/>
      <c r="F131" s="27" t="s">
        <v>4</v>
      </c>
      <c r="G131" s="27" t="s">
        <v>4</v>
      </c>
      <c r="H131" s="28" t="s">
        <v>4</v>
      </c>
      <c r="I131" s="1">
        <f>I132+I134+I136+I138+I140+I153+I156+I163+I166+I179+I181+I183</f>
        <v>0</v>
      </c>
      <c r="J131" s="10" t="s">
        <v>48</v>
      </c>
      <c r="K131" s="29">
        <f>K132+K134+K136+K138+K140+K153+K156+K163+K166+K179+K181+K183</f>
        <v>362.02454</v>
      </c>
    </row>
    <row r="132" spans="1:47" ht="15">
      <c r="A132" s="25" t="s">
        <v>48</v>
      </c>
      <c r="B132" s="26" t="s">
        <v>395</v>
      </c>
      <c r="C132" s="26" t="s">
        <v>51</v>
      </c>
      <c r="D132" s="135" t="s">
        <v>52</v>
      </c>
      <c r="E132" s="136"/>
      <c r="F132" s="27" t="s">
        <v>4</v>
      </c>
      <c r="G132" s="27" t="s">
        <v>4</v>
      </c>
      <c r="H132" s="28" t="s">
        <v>4</v>
      </c>
      <c r="I132" s="1">
        <f>SUM(I133:I133)</f>
        <v>0</v>
      </c>
      <c r="J132" s="10" t="s">
        <v>48</v>
      </c>
      <c r="K132" s="29">
        <f>SUM(K133:K133)</f>
        <v>176</v>
      </c>
      <c r="AI132" s="10" t="s">
        <v>395</v>
      </c>
      <c r="AS132" s="1">
        <f>SUM(AJ133:AJ133)</f>
        <v>0</v>
      </c>
      <c r="AT132" s="1">
        <f>SUM(AK133:AK133)</f>
        <v>0</v>
      </c>
      <c r="AU132" s="1">
        <f>SUM(AL133:AL133)</f>
        <v>0</v>
      </c>
    </row>
    <row r="133" spans="1:76" ht="15">
      <c r="A133" s="2" t="s">
        <v>397</v>
      </c>
      <c r="B133" s="3" t="s">
        <v>395</v>
      </c>
      <c r="C133" s="3" t="s">
        <v>398</v>
      </c>
      <c r="D133" s="116" t="s">
        <v>399</v>
      </c>
      <c r="E133" s="111"/>
      <c r="F133" s="3" t="s">
        <v>56</v>
      </c>
      <c r="G133" s="30">
        <v>400</v>
      </c>
      <c r="H133" s="31">
        <v>0</v>
      </c>
      <c r="I133" s="30">
        <f>G133*H133</f>
        <v>0</v>
      </c>
      <c r="J133" s="30">
        <v>0.44</v>
      </c>
      <c r="K133" s="32">
        <f>G133*J133</f>
        <v>176</v>
      </c>
      <c r="Z133" s="30">
        <f>IF(AQ133="5",BJ133,0)</f>
        <v>0</v>
      </c>
      <c r="AB133" s="30">
        <f>IF(AQ133="1",BH133,0)</f>
        <v>0</v>
      </c>
      <c r="AC133" s="30">
        <f>IF(AQ133="1",BI133,0)</f>
        <v>0</v>
      </c>
      <c r="AD133" s="30">
        <f>IF(AQ133="7",BH133,0)</f>
        <v>0</v>
      </c>
      <c r="AE133" s="30">
        <f>IF(AQ133="7",BI133,0)</f>
        <v>0</v>
      </c>
      <c r="AF133" s="30">
        <f>IF(AQ133="2",BH133,0)</f>
        <v>0</v>
      </c>
      <c r="AG133" s="30">
        <f>IF(AQ133="2",BI133,0)</f>
        <v>0</v>
      </c>
      <c r="AH133" s="30">
        <f>IF(AQ133="0",BJ133,0)</f>
        <v>0</v>
      </c>
      <c r="AI133" s="10" t="s">
        <v>395</v>
      </c>
      <c r="AJ133" s="30">
        <f>IF(AN133=0,I133,0)</f>
        <v>0</v>
      </c>
      <c r="AK133" s="30">
        <f>IF(AN133=12,I133,0)</f>
        <v>0</v>
      </c>
      <c r="AL133" s="30">
        <f>IF(AN133=21,I133,0)</f>
        <v>0</v>
      </c>
      <c r="AN133" s="30">
        <v>21</v>
      </c>
      <c r="AO133" s="30">
        <f>H133*0</f>
        <v>0</v>
      </c>
      <c r="AP133" s="30">
        <f>H133*(1-0)</f>
        <v>0</v>
      </c>
      <c r="AQ133" s="33" t="s">
        <v>53</v>
      </c>
      <c r="AV133" s="30">
        <f>AW133+AX133</f>
        <v>0</v>
      </c>
      <c r="AW133" s="30">
        <f>G133*AO133</f>
        <v>0</v>
      </c>
      <c r="AX133" s="30">
        <f>G133*AP133</f>
        <v>0</v>
      </c>
      <c r="AY133" s="33" t="s">
        <v>57</v>
      </c>
      <c r="AZ133" s="33" t="s">
        <v>400</v>
      </c>
      <c r="BA133" s="10" t="s">
        <v>401</v>
      </c>
      <c r="BC133" s="30">
        <f>AW133+AX133</f>
        <v>0</v>
      </c>
      <c r="BD133" s="30">
        <f>H133/(100-BE133)*100</f>
        <v>0</v>
      </c>
      <c r="BE133" s="30">
        <v>0</v>
      </c>
      <c r="BF133" s="30">
        <f>K133</f>
        <v>176</v>
      </c>
      <c r="BH133" s="30">
        <f>G133*AO133</f>
        <v>0</v>
      </c>
      <c r="BI133" s="30">
        <f>G133*AP133</f>
        <v>0</v>
      </c>
      <c r="BJ133" s="30">
        <f>G133*H133</f>
        <v>0</v>
      </c>
      <c r="BK133" s="30"/>
      <c r="BL133" s="30">
        <v>11</v>
      </c>
      <c r="BW133" s="30">
        <v>21</v>
      </c>
      <c r="BX133" s="4" t="s">
        <v>399</v>
      </c>
    </row>
    <row r="134" spans="1:47" ht="15">
      <c r="A134" s="25" t="s">
        <v>48</v>
      </c>
      <c r="B134" s="26" t="s">
        <v>395</v>
      </c>
      <c r="C134" s="26" t="s">
        <v>70</v>
      </c>
      <c r="D134" s="135" t="s">
        <v>71</v>
      </c>
      <c r="E134" s="136"/>
      <c r="F134" s="27" t="s">
        <v>4</v>
      </c>
      <c r="G134" s="27" t="s">
        <v>4</v>
      </c>
      <c r="H134" s="28" t="s">
        <v>4</v>
      </c>
      <c r="I134" s="1">
        <f>SUM(I135:I135)</f>
        <v>0</v>
      </c>
      <c r="J134" s="10" t="s">
        <v>48</v>
      </c>
      <c r="K134" s="29">
        <f>SUM(K135:K135)</f>
        <v>0</v>
      </c>
      <c r="AI134" s="10" t="s">
        <v>395</v>
      </c>
      <c r="AS134" s="1">
        <f>SUM(AJ135:AJ135)</f>
        <v>0</v>
      </c>
      <c r="AT134" s="1">
        <f>SUM(AK135:AK135)</f>
        <v>0</v>
      </c>
      <c r="AU134" s="1">
        <f>SUM(AL135:AL135)</f>
        <v>0</v>
      </c>
    </row>
    <row r="135" spans="1:76" ht="15">
      <c r="A135" s="2" t="s">
        <v>402</v>
      </c>
      <c r="B135" s="3" t="s">
        <v>395</v>
      </c>
      <c r="C135" s="3" t="s">
        <v>73</v>
      </c>
      <c r="D135" s="116" t="s">
        <v>74</v>
      </c>
      <c r="E135" s="111"/>
      <c r="F135" s="3" t="s">
        <v>75</v>
      </c>
      <c r="G135" s="30">
        <v>50.25</v>
      </c>
      <c r="H135" s="31">
        <v>0</v>
      </c>
      <c r="I135" s="30">
        <f>G135*H135</f>
        <v>0</v>
      </c>
      <c r="J135" s="30">
        <v>0</v>
      </c>
      <c r="K135" s="32">
        <f>G135*J135</f>
        <v>0</v>
      </c>
      <c r="Z135" s="30">
        <f>IF(AQ135="5",BJ135,0)</f>
        <v>0</v>
      </c>
      <c r="AB135" s="30">
        <f>IF(AQ135="1",BH135,0)</f>
        <v>0</v>
      </c>
      <c r="AC135" s="30">
        <f>IF(AQ135="1",BI135,0)</f>
        <v>0</v>
      </c>
      <c r="AD135" s="30">
        <f>IF(AQ135="7",BH135,0)</f>
        <v>0</v>
      </c>
      <c r="AE135" s="30">
        <f>IF(AQ135="7",BI135,0)</f>
        <v>0</v>
      </c>
      <c r="AF135" s="30">
        <f>IF(AQ135="2",BH135,0)</f>
        <v>0</v>
      </c>
      <c r="AG135" s="30">
        <f>IF(AQ135="2",BI135,0)</f>
        <v>0</v>
      </c>
      <c r="AH135" s="30">
        <f>IF(AQ135="0",BJ135,0)</f>
        <v>0</v>
      </c>
      <c r="AI135" s="10" t="s">
        <v>395</v>
      </c>
      <c r="AJ135" s="30">
        <f>IF(AN135=0,I135,0)</f>
        <v>0</v>
      </c>
      <c r="AK135" s="30">
        <f>IF(AN135=12,I135,0)</f>
        <v>0</v>
      </c>
      <c r="AL135" s="30">
        <f>IF(AN135=21,I135,0)</f>
        <v>0</v>
      </c>
      <c r="AN135" s="30">
        <v>21</v>
      </c>
      <c r="AO135" s="30">
        <f>H135*0</f>
        <v>0</v>
      </c>
      <c r="AP135" s="30">
        <f>H135*(1-0)</f>
        <v>0</v>
      </c>
      <c r="AQ135" s="33" t="s">
        <v>53</v>
      </c>
      <c r="AV135" s="30">
        <f>AW135+AX135</f>
        <v>0</v>
      </c>
      <c r="AW135" s="30">
        <f>G135*AO135</f>
        <v>0</v>
      </c>
      <c r="AX135" s="30">
        <f>G135*AP135</f>
        <v>0</v>
      </c>
      <c r="AY135" s="33" t="s">
        <v>76</v>
      </c>
      <c r="AZ135" s="33" t="s">
        <v>400</v>
      </c>
      <c r="BA135" s="10" t="s">
        <v>401</v>
      </c>
      <c r="BC135" s="30">
        <f>AW135+AX135</f>
        <v>0</v>
      </c>
      <c r="BD135" s="30">
        <f>H135/(100-BE135)*100</f>
        <v>0</v>
      </c>
      <c r="BE135" s="30">
        <v>0</v>
      </c>
      <c r="BF135" s="30">
        <f>K135</f>
        <v>0</v>
      </c>
      <c r="BH135" s="30">
        <f>G135*AO135</f>
        <v>0</v>
      </c>
      <c r="BI135" s="30">
        <f>G135*AP135</f>
        <v>0</v>
      </c>
      <c r="BJ135" s="30">
        <f>G135*H135</f>
        <v>0</v>
      </c>
      <c r="BK135" s="30"/>
      <c r="BL135" s="30">
        <v>12</v>
      </c>
      <c r="BW135" s="30">
        <v>21</v>
      </c>
      <c r="BX135" s="4" t="s">
        <v>74</v>
      </c>
    </row>
    <row r="136" spans="1:47" ht="15">
      <c r="A136" s="25" t="s">
        <v>48</v>
      </c>
      <c r="B136" s="26" t="s">
        <v>395</v>
      </c>
      <c r="C136" s="26" t="s">
        <v>99</v>
      </c>
      <c r="D136" s="135" t="s">
        <v>403</v>
      </c>
      <c r="E136" s="136"/>
      <c r="F136" s="27" t="s">
        <v>4</v>
      </c>
      <c r="G136" s="27" t="s">
        <v>4</v>
      </c>
      <c r="H136" s="28" t="s">
        <v>4</v>
      </c>
      <c r="I136" s="1">
        <f>SUM(I137:I137)</f>
        <v>0</v>
      </c>
      <c r="J136" s="10" t="s">
        <v>48</v>
      </c>
      <c r="K136" s="29">
        <f>SUM(K137:K137)</f>
        <v>0</v>
      </c>
      <c r="AI136" s="10" t="s">
        <v>395</v>
      </c>
      <c r="AS136" s="1">
        <f>SUM(AJ137:AJ137)</f>
        <v>0</v>
      </c>
      <c r="AT136" s="1">
        <f>SUM(AK137:AK137)</f>
        <v>0</v>
      </c>
      <c r="AU136" s="1">
        <f>SUM(AL137:AL137)</f>
        <v>0</v>
      </c>
    </row>
    <row r="137" spans="1:76" ht="15">
      <c r="A137" s="2" t="s">
        <v>404</v>
      </c>
      <c r="B137" s="3" t="s">
        <v>395</v>
      </c>
      <c r="C137" s="3" t="s">
        <v>405</v>
      </c>
      <c r="D137" s="116" t="s">
        <v>406</v>
      </c>
      <c r="E137" s="111"/>
      <c r="F137" s="3" t="s">
        <v>75</v>
      </c>
      <c r="G137" s="30">
        <v>1.71</v>
      </c>
      <c r="H137" s="31">
        <v>0</v>
      </c>
      <c r="I137" s="30">
        <f>G137*H137</f>
        <v>0</v>
      </c>
      <c r="J137" s="30">
        <v>0</v>
      </c>
      <c r="K137" s="32">
        <f>G137*J137</f>
        <v>0</v>
      </c>
      <c r="Z137" s="30">
        <f>IF(AQ137="5",BJ137,0)</f>
        <v>0</v>
      </c>
      <c r="AB137" s="30">
        <f>IF(AQ137="1",BH137,0)</f>
        <v>0</v>
      </c>
      <c r="AC137" s="30">
        <f>IF(AQ137="1",BI137,0)</f>
        <v>0</v>
      </c>
      <c r="AD137" s="30">
        <f>IF(AQ137="7",BH137,0)</f>
        <v>0</v>
      </c>
      <c r="AE137" s="30">
        <f>IF(AQ137="7",BI137,0)</f>
        <v>0</v>
      </c>
      <c r="AF137" s="30">
        <f>IF(AQ137="2",BH137,0)</f>
        <v>0</v>
      </c>
      <c r="AG137" s="30">
        <f>IF(AQ137="2",BI137,0)</f>
        <v>0</v>
      </c>
      <c r="AH137" s="30">
        <f>IF(AQ137="0",BJ137,0)</f>
        <v>0</v>
      </c>
      <c r="AI137" s="10" t="s">
        <v>395</v>
      </c>
      <c r="AJ137" s="30">
        <f>IF(AN137=0,I137,0)</f>
        <v>0</v>
      </c>
      <c r="AK137" s="30">
        <f>IF(AN137=12,I137,0)</f>
        <v>0</v>
      </c>
      <c r="AL137" s="30">
        <f>IF(AN137=21,I137,0)</f>
        <v>0</v>
      </c>
      <c r="AN137" s="30">
        <v>21</v>
      </c>
      <c r="AO137" s="30">
        <f>H137*0</f>
        <v>0</v>
      </c>
      <c r="AP137" s="30">
        <f>H137*(1-0)</f>
        <v>0</v>
      </c>
      <c r="AQ137" s="33" t="s">
        <v>53</v>
      </c>
      <c r="AV137" s="30">
        <f>AW137+AX137</f>
        <v>0</v>
      </c>
      <c r="AW137" s="30">
        <f>G137*AO137</f>
        <v>0</v>
      </c>
      <c r="AX137" s="30">
        <f>G137*AP137</f>
        <v>0</v>
      </c>
      <c r="AY137" s="33" t="s">
        <v>407</v>
      </c>
      <c r="AZ137" s="33" t="s">
        <v>400</v>
      </c>
      <c r="BA137" s="10" t="s">
        <v>401</v>
      </c>
      <c r="BC137" s="30">
        <f>AW137+AX137</f>
        <v>0</v>
      </c>
      <c r="BD137" s="30">
        <f>H137/(100-BE137)*100</f>
        <v>0</v>
      </c>
      <c r="BE137" s="30">
        <v>0</v>
      </c>
      <c r="BF137" s="30">
        <f>K137</f>
        <v>0</v>
      </c>
      <c r="BH137" s="30">
        <f>G137*AO137</f>
        <v>0</v>
      </c>
      <c r="BI137" s="30">
        <f>G137*AP137</f>
        <v>0</v>
      </c>
      <c r="BJ137" s="30">
        <f>G137*H137</f>
        <v>0</v>
      </c>
      <c r="BK137" s="30"/>
      <c r="BL137" s="30">
        <v>13</v>
      </c>
      <c r="BW137" s="30">
        <v>21</v>
      </c>
      <c r="BX137" s="4" t="s">
        <v>406</v>
      </c>
    </row>
    <row r="138" spans="1:47" ht="15">
      <c r="A138" s="25" t="s">
        <v>48</v>
      </c>
      <c r="B138" s="26" t="s">
        <v>395</v>
      </c>
      <c r="C138" s="26" t="s">
        <v>103</v>
      </c>
      <c r="D138" s="135" t="s">
        <v>104</v>
      </c>
      <c r="E138" s="136"/>
      <c r="F138" s="27" t="s">
        <v>4</v>
      </c>
      <c r="G138" s="27" t="s">
        <v>4</v>
      </c>
      <c r="H138" s="28" t="s">
        <v>4</v>
      </c>
      <c r="I138" s="1">
        <f>SUM(I139:I139)</f>
        <v>0</v>
      </c>
      <c r="J138" s="10" t="s">
        <v>48</v>
      </c>
      <c r="K138" s="29">
        <f>SUM(K139:K139)</f>
        <v>0</v>
      </c>
      <c r="AI138" s="10" t="s">
        <v>395</v>
      </c>
      <c r="AS138" s="1">
        <f>SUM(AJ139:AJ139)</f>
        <v>0</v>
      </c>
      <c r="AT138" s="1">
        <f>SUM(AK139:AK139)</f>
        <v>0</v>
      </c>
      <c r="AU138" s="1">
        <f>SUM(AL139:AL139)</f>
        <v>0</v>
      </c>
    </row>
    <row r="139" spans="1:76" ht="15">
      <c r="A139" s="2" t="s">
        <v>321</v>
      </c>
      <c r="B139" s="3" t="s">
        <v>395</v>
      </c>
      <c r="C139" s="3" t="s">
        <v>408</v>
      </c>
      <c r="D139" s="116" t="s">
        <v>409</v>
      </c>
      <c r="E139" s="111"/>
      <c r="F139" s="3" t="s">
        <v>75</v>
      </c>
      <c r="G139" s="30">
        <v>2.16</v>
      </c>
      <c r="H139" s="31">
        <v>0</v>
      </c>
      <c r="I139" s="30">
        <f>G139*H139</f>
        <v>0</v>
      </c>
      <c r="J139" s="30">
        <v>0</v>
      </c>
      <c r="K139" s="32">
        <f>G139*J139</f>
        <v>0</v>
      </c>
      <c r="Z139" s="30">
        <f>IF(AQ139="5",BJ139,0)</f>
        <v>0</v>
      </c>
      <c r="AB139" s="30">
        <f>IF(AQ139="1",BH139,0)</f>
        <v>0</v>
      </c>
      <c r="AC139" s="30">
        <f>IF(AQ139="1",BI139,0)</f>
        <v>0</v>
      </c>
      <c r="AD139" s="30">
        <f>IF(AQ139="7",BH139,0)</f>
        <v>0</v>
      </c>
      <c r="AE139" s="30">
        <f>IF(AQ139="7",BI139,0)</f>
        <v>0</v>
      </c>
      <c r="AF139" s="30">
        <f>IF(AQ139="2",BH139,0)</f>
        <v>0</v>
      </c>
      <c r="AG139" s="30">
        <f>IF(AQ139="2",BI139,0)</f>
        <v>0</v>
      </c>
      <c r="AH139" s="30">
        <f>IF(AQ139="0",BJ139,0)</f>
        <v>0</v>
      </c>
      <c r="AI139" s="10" t="s">
        <v>395</v>
      </c>
      <c r="AJ139" s="30">
        <f>IF(AN139=0,I139,0)</f>
        <v>0</v>
      </c>
      <c r="AK139" s="30">
        <f>IF(AN139=12,I139,0)</f>
        <v>0</v>
      </c>
      <c r="AL139" s="30">
        <f>IF(AN139=21,I139,0)</f>
        <v>0</v>
      </c>
      <c r="AN139" s="30">
        <v>21</v>
      </c>
      <c r="AO139" s="30">
        <f>H139*0</f>
        <v>0</v>
      </c>
      <c r="AP139" s="30">
        <f>H139*(1-0)</f>
        <v>0</v>
      </c>
      <c r="AQ139" s="33" t="s">
        <v>53</v>
      </c>
      <c r="AV139" s="30">
        <f>AW139+AX139</f>
        <v>0</v>
      </c>
      <c r="AW139" s="30">
        <f>G139*AO139</f>
        <v>0</v>
      </c>
      <c r="AX139" s="30">
        <f>G139*AP139</f>
        <v>0</v>
      </c>
      <c r="AY139" s="33" t="s">
        <v>108</v>
      </c>
      <c r="AZ139" s="33" t="s">
        <v>400</v>
      </c>
      <c r="BA139" s="10" t="s">
        <v>401</v>
      </c>
      <c r="BC139" s="30">
        <f>AW139+AX139</f>
        <v>0</v>
      </c>
      <c r="BD139" s="30">
        <f>H139/(100-BE139)*100</f>
        <v>0</v>
      </c>
      <c r="BE139" s="30">
        <v>0</v>
      </c>
      <c r="BF139" s="30">
        <f>K139</f>
        <v>0</v>
      </c>
      <c r="BH139" s="30">
        <f>G139*AO139</f>
        <v>0</v>
      </c>
      <c r="BI139" s="30">
        <f>G139*AP139</f>
        <v>0</v>
      </c>
      <c r="BJ139" s="30">
        <f>G139*H139</f>
        <v>0</v>
      </c>
      <c r="BK139" s="30"/>
      <c r="BL139" s="30">
        <v>17</v>
      </c>
      <c r="BW139" s="30">
        <v>21</v>
      </c>
      <c r="BX139" s="4" t="s">
        <v>409</v>
      </c>
    </row>
    <row r="140" spans="1:47" ht="15">
      <c r="A140" s="25" t="s">
        <v>48</v>
      </c>
      <c r="B140" s="26" t="s">
        <v>395</v>
      </c>
      <c r="C140" s="26" t="s">
        <v>109</v>
      </c>
      <c r="D140" s="135" t="s">
        <v>110</v>
      </c>
      <c r="E140" s="136"/>
      <c r="F140" s="27" t="s">
        <v>4</v>
      </c>
      <c r="G140" s="27" t="s">
        <v>4</v>
      </c>
      <c r="H140" s="28" t="s">
        <v>4</v>
      </c>
      <c r="I140" s="1">
        <f>SUM(I141:I152)</f>
        <v>0</v>
      </c>
      <c r="J140" s="10" t="s">
        <v>48</v>
      </c>
      <c r="K140" s="29">
        <f>SUM(K141:K152)</f>
        <v>0.38639999999999997</v>
      </c>
      <c r="AI140" s="10" t="s">
        <v>395</v>
      </c>
      <c r="AS140" s="1">
        <f>SUM(AJ141:AJ152)</f>
        <v>0</v>
      </c>
      <c r="AT140" s="1">
        <f>SUM(AK141:AK152)</f>
        <v>0</v>
      </c>
      <c r="AU140" s="1">
        <f>SUM(AL141:AL152)</f>
        <v>0</v>
      </c>
    </row>
    <row r="141" spans="1:76" ht="15">
      <c r="A141" s="2" t="s">
        <v>410</v>
      </c>
      <c r="B141" s="3" t="s">
        <v>395</v>
      </c>
      <c r="C141" s="3" t="s">
        <v>112</v>
      </c>
      <c r="D141" s="116" t="s">
        <v>113</v>
      </c>
      <c r="E141" s="111"/>
      <c r="F141" s="3" t="s">
        <v>56</v>
      </c>
      <c r="G141" s="30">
        <v>735</v>
      </c>
      <c r="H141" s="31">
        <v>0</v>
      </c>
      <c r="I141" s="30">
        <f aca="true" t="shared" si="70" ref="I141:I149">G141*H141</f>
        <v>0</v>
      </c>
      <c r="J141" s="30">
        <v>0</v>
      </c>
      <c r="K141" s="32">
        <f aca="true" t="shared" si="71" ref="K141:K149">G141*J141</f>
        <v>0</v>
      </c>
      <c r="Z141" s="30">
        <f aca="true" t="shared" si="72" ref="Z141:Z149">IF(AQ141="5",BJ141,0)</f>
        <v>0</v>
      </c>
      <c r="AB141" s="30">
        <f aca="true" t="shared" si="73" ref="AB141:AB149">IF(AQ141="1",BH141,0)</f>
        <v>0</v>
      </c>
      <c r="AC141" s="30">
        <f aca="true" t="shared" si="74" ref="AC141:AC149">IF(AQ141="1",BI141,0)</f>
        <v>0</v>
      </c>
      <c r="AD141" s="30">
        <f aca="true" t="shared" si="75" ref="AD141:AD149">IF(AQ141="7",BH141,0)</f>
        <v>0</v>
      </c>
      <c r="AE141" s="30">
        <f aca="true" t="shared" si="76" ref="AE141:AE149">IF(AQ141="7",BI141,0)</f>
        <v>0</v>
      </c>
      <c r="AF141" s="30">
        <f aca="true" t="shared" si="77" ref="AF141:AF149">IF(AQ141="2",BH141,0)</f>
        <v>0</v>
      </c>
      <c r="AG141" s="30">
        <f aca="true" t="shared" si="78" ref="AG141:AG149">IF(AQ141="2",BI141,0)</f>
        <v>0</v>
      </c>
      <c r="AH141" s="30">
        <f aca="true" t="shared" si="79" ref="AH141:AH149">IF(AQ141="0",BJ141,0)</f>
        <v>0</v>
      </c>
      <c r="AI141" s="10" t="s">
        <v>395</v>
      </c>
      <c r="AJ141" s="30">
        <f aca="true" t="shared" si="80" ref="AJ141:AJ149">IF(AN141=0,I141,0)</f>
        <v>0</v>
      </c>
      <c r="AK141" s="30">
        <f aca="true" t="shared" si="81" ref="AK141:AK149">IF(AN141=12,I141,0)</f>
        <v>0</v>
      </c>
      <c r="AL141" s="30">
        <f aca="true" t="shared" si="82" ref="AL141:AL149">IF(AN141=21,I141,0)</f>
        <v>0</v>
      </c>
      <c r="AN141" s="30">
        <v>21</v>
      </c>
      <c r="AO141" s="30">
        <f>H141*0</f>
        <v>0</v>
      </c>
      <c r="AP141" s="30">
        <f>H141*(1-0)</f>
        <v>0</v>
      </c>
      <c r="AQ141" s="33" t="s">
        <v>53</v>
      </c>
      <c r="AV141" s="30">
        <f aca="true" t="shared" si="83" ref="AV141:AV149">AW141+AX141</f>
        <v>0</v>
      </c>
      <c r="AW141" s="30">
        <f aca="true" t="shared" si="84" ref="AW141:AW149">G141*AO141</f>
        <v>0</v>
      </c>
      <c r="AX141" s="30">
        <f aca="true" t="shared" si="85" ref="AX141:AX149">G141*AP141</f>
        <v>0</v>
      </c>
      <c r="AY141" s="33" t="s">
        <v>114</v>
      </c>
      <c r="AZ141" s="33" t="s">
        <v>400</v>
      </c>
      <c r="BA141" s="10" t="s">
        <v>401</v>
      </c>
      <c r="BC141" s="30">
        <f aca="true" t="shared" si="86" ref="BC141:BC149">AW141+AX141</f>
        <v>0</v>
      </c>
      <c r="BD141" s="30">
        <f aca="true" t="shared" si="87" ref="BD141:BD149">H141/(100-BE141)*100</f>
        <v>0</v>
      </c>
      <c r="BE141" s="30">
        <v>0</v>
      </c>
      <c r="BF141" s="30">
        <f aca="true" t="shared" si="88" ref="BF141:BF149">K141</f>
        <v>0</v>
      </c>
      <c r="BH141" s="30">
        <f aca="true" t="shared" si="89" ref="BH141:BH149">G141*AO141</f>
        <v>0</v>
      </c>
      <c r="BI141" s="30">
        <f aca="true" t="shared" si="90" ref="BI141:BI149">G141*AP141</f>
        <v>0</v>
      </c>
      <c r="BJ141" s="30">
        <f aca="true" t="shared" si="91" ref="BJ141:BJ149">G141*H141</f>
        <v>0</v>
      </c>
      <c r="BK141" s="30"/>
      <c r="BL141" s="30">
        <v>18</v>
      </c>
      <c r="BW141" s="30">
        <v>21</v>
      </c>
      <c r="BX141" s="4" t="s">
        <v>113</v>
      </c>
    </row>
    <row r="142" spans="1:76" ht="15">
      <c r="A142" s="2" t="s">
        <v>411</v>
      </c>
      <c r="B142" s="3" t="s">
        <v>395</v>
      </c>
      <c r="C142" s="3" t="s">
        <v>115</v>
      </c>
      <c r="D142" s="116" t="s">
        <v>116</v>
      </c>
      <c r="E142" s="111"/>
      <c r="F142" s="3" t="s">
        <v>56</v>
      </c>
      <c r="G142" s="30">
        <v>735</v>
      </c>
      <c r="H142" s="31">
        <v>0</v>
      </c>
      <c r="I142" s="30">
        <f t="shared" si="70"/>
        <v>0</v>
      </c>
      <c r="J142" s="30">
        <v>0</v>
      </c>
      <c r="K142" s="32">
        <f t="shared" si="71"/>
        <v>0</v>
      </c>
      <c r="Z142" s="30">
        <f t="shared" si="72"/>
        <v>0</v>
      </c>
      <c r="AB142" s="30">
        <f t="shared" si="73"/>
        <v>0</v>
      </c>
      <c r="AC142" s="30">
        <f t="shared" si="74"/>
        <v>0</v>
      </c>
      <c r="AD142" s="30">
        <f t="shared" si="75"/>
        <v>0</v>
      </c>
      <c r="AE142" s="30">
        <f t="shared" si="76"/>
        <v>0</v>
      </c>
      <c r="AF142" s="30">
        <f t="shared" si="77"/>
        <v>0</v>
      </c>
      <c r="AG142" s="30">
        <f t="shared" si="78"/>
        <v>0</v>
      </c>
      <c r="AH142" s="30">
        <f t="shared" si="79"/>
        <v>0</v>
      </c>
      <c r="AI142" s="10" t="s">
        <v>395</v>
      </c>
      <c r="AJ142" s="30">
        <f t="shared" si="80"/>
        <v>0</v>
      </c>
      <c r="AK142" s="30">
        <f t="shared" si="81"/>
        <v>0</v>
      </c>
      <c r="AL142" s="30">
        <f t="shared" si="82"/>
        <v>0</v>
      </c>
      <c r="AN142" s="30">
        <v>21</v>
      </c>
      <c r="AO142" s="30">
        <f>H142*0</f>
        <v>0</v>
      </c>
      <c r="AP142" s="30">
        <f>H142*(1-0)</f>
        <v>0</v>
      </c>
      <c r="AQ142" s="33" t="s">
        <v>53</v>
      </c>
      <c r="AV142" s="30">
        <f t="shared" si="83"/>
        <v>0</v>
      </c>
      <c r="AW142" s="30">
        <f t="shared" si="84"/>
        <v>0</v>
      </c>
      <c r="AX142" s="30">
        <f t="shared" si="85"/>
        <v>0</v>
      </c>
      <c r="AY142" s="33" t="s">
        <v>114</v>
      </c>
      <c r="AZ142" s="33" t="s">
        <v>400</v>
      </c>
      <c r="BA142" s="10" t="s">
        <v>401</v>
      </c>
      <c r="BC142" s="30">
        <f t="shared" si="86"/>
        <v>0</v>
      </c>
      <c r="BD142" s="30">
        <f t="shared" si="87"/>
        <v>0</v>
      </c>
      <c r="BE142" s="30">
        <v>0</v>
      </c>
      <c r="BF142" s="30">
        <f t="shared" si="88"/>
        <v>0</v>
      </c>
      <c r="BH142" s="30">
        <f t="shared" si="89"/>
        <v>0</v>
      </c>
      <c r="BI142" s="30">
        <f t="shared" si="90"/>
        <v>0</v>
      </c>
      <c r="BJ142" s="30">
        <f t="shared" si="91"/>
        <v>0</v>
      </c>
      <c r="BK142" s="30"/>
      <c r="BL142" s="30">
        <v>18</v>
      </c>
      <c r="BW142" s="30">
        <v>21</v>
      </c>
      <c r="BX142" s="4" t="s">
        <v>116</v>
      </c>
    </row>
    <row r="143" spans="1:76" ht="15">
      <c r="A143" s="2" t="s">
        <v>412</v>
      </c>
      <c r="B143" s="3" t="s">
        <v>395</v>
      </c>
      <c r="C143" s="3" t="s">
        <v>117</v>
      </c>
      <c r="D143" s="116" t="s">
        <v>118</v>
      </c>
      <c r="E143" s="111"/>
      <c r="F143" s="3" t="s">
        <v>56</v>
      </c>
      <c r="G143" s="30">
        <v>735</v>
      </c>
      <c r="H143" s="31">
        <v>0</v>
      </c>
      <c r="I143" s="30">
        <f t="shared" si="70"/>
        <v>0</v>
      </c>
      <c r="J143" s="30">
        <v>0</v>
      </c>
      <c r="K143" s="32">
        <f t="shared" si="71"/>
        <v>0</v>
      </c>
      <c r="Z143" s="30">
        <f t="shared" si="72"/>
        <v>0</v>
      </c>
      <c r="AB143" s="30">
        <f t="shared" si="73"/>
        <v>0</v>
      </c>
      <c r="AC143" s="30">
        <f t="shared" si="74"/>
        <v>0</v>
      </c>
      <c r="AD143" s="30">
        <f t="shared" si="75"/>
        <v>0</v>
      </c>
      <c r="AE143" s="30">
        <f t="shared" si="76"/>
        <v>0</v>
      </c>
      <c r="AF143" s="30">
        <f t="shared" si="77"/>
        <v>0</v>
      </c>
      <c r="AG143" s="30">
        <f t="shared" si="78"/>
        <v>0</v>
      </c>
      <c r="AH143" s="30">
        <f t="shared" si="79"/>
        <v>0</v>
      </c>
      <c r="AI143" s="10" t="s">
        <v>395</v>
      </c>
      <c r="AJ143" s="30">
        <f t="shared" si="80"/>
        <v>0</v>
      </c>
      <c r="AK143" s="30">
        <f t="shared" si="81"/>
        <v>0</v>
      </c>
      <c r="AL143" s="30">
        <f t="shared" si="82"/>
        <v>0</v>
      </c>
      <c r="AN143" s="30">
        <v>21</v>
      </c>
      <c r="AO143" s="30">
        <f>H143*0.072542373</f>
        <v>0</v>
      </c>
      <c r="AP143" s="30">
        <f>H143*(1-0.072542373)</f>
        <v>0</v>
      </c>
      <c r="AQ143" s="33" t="s">
        <v>53</v>
      </c>
      <c r="AV143" s="30">
        <f t="shared" si="83"/>
        <v>0</v>
      </c>
      <c r="AW143" s="30">
        <f t="shared" si="84"/>
        <v>0</v>
      </c>
      <c r="AX143" s="30">
        <f t="shared" si="85"/>
        <v>0</v>
      </c>
      <c r="AY143" s="33" t="s">
        <v>114</v>
      </c>
      <c r="AZ143" s="33" t="s">
        <v>400</v>
      </c>
      <c r="BA143" s="10" t="s">
        <v>401</v>
      </c>
      <c r="BC143" s="30">
        <f t="shared" si="86"/>
        <v>0</v>
      </c>
      <c r="BD143" s="30">
        <f t="shared" si="87"/>
        <v>0</v>
      </c>
      <c r="BE143" s="30">
        <v>0</v>
      </c>
      <c r="BF143" s="30">
        <f t="shared" si="88"/>
        <v>0</v>
      </c>
      <c r="BH143" s="30">
        <f t="shared" si="89"/>
        <v>0</v>
      </c>
      <c r="BI143" s="30">
        <f t="shared" si="90"/>
        <v>0</v>
      </c>
      <c r="BJ143" s="30">
        <f t="shared" si="91"/>
        <v>0</v>
      </c>
      <c r="BK143" s="30"/>
      <c r="BL143" s="30">
        <v>18</v>
      </c>
      <c r="BW143" s="30">
        <v>21</v>
      </c>
      <c r="BX143" s="4" t="s">
        <v>118</v>
      </c>
    </row>
    <row r="144" spans="1:76" ht="15">
      <c r="A144" s="2" t="s">
        <v>413</v>
      </c>
      <c r="B144" s="3" t="s">
        <v>395</v>
      </c>
      <c r="C144" s="3" t="s">
        <v>119</v>
      </c>
      <c r="D144" s="116" t="s">
        <v>120</v>
      </c>
      <c r="E144" s="111"/>
      <c r="F144" s="3" t="s">
        <v>56</v>
      </c>
      <c r="G144" s="30">
        <v>735</v>
      </c>
      <c r="H144" s="31">
        <v>0</v>
      </c>
      <c r="I144" s="30">
        <f t="shared" si="70"/>
        <v>0</v>
      </c>
      <c r="J144" s="30">
        <v>0</v>
      </c>
      <c r="K144" s="32">
        <f t="shared" si="71"/>
        <v>0</v>
      </c>
      <c r="Z144" s="30">
        <f t="shared" si="72"/>
        <v>0</v>
      </c>
      <c r="AB144" s="30">
        <f t="shared" si="73"/>
        <v>0</v>
      </c>
      <c r="AC144" s="30">
        <f t="shared" si="74"/>
        <v>0</v>
      </c>
      <c r="AD144" s="30">
        <f t="shared" si="75"/>
        <v>0</v>
      </c>
      <c r="AE144" s="30">
        <f t="shared" si="76"/>
        <v>0</v>
      </c>
      <c r="AF144" s="30">
        <f t="shared" si="77"/>
        <v>0</v>
      </c>
      <c r="AG144" s="30">
        <f t="shared" si="78"/>
        <v>0</v>
      </c>
      <c r="AH144" s="30">
        <f t="shared" si="79"/>
        <v>0</v>
      </c>
      <c r="AI144" s="10" t="s">
        <v>395</v>
      </c>
      <c r="AJ144" s="30">
        <f t="shared" si="80"/>
        <v>0</v>
      </c>
      <c r="AK144" s="30">
        <f t="shared" si="81"/>
        <v>0</v>
      </c>
      <c r="AL144" s="30">
        <f t="shared" si="82"/>
        <v>0</v>
      </c>
      <c r="AN144" s="30">
        <v>21</v>
      </c>
      <c r="AO144" s="30">
        <f>H144*0.007692308</f>
        <v>0</v>
      </c>
      <c r="AP144" s="30">
        <f>H144*(1-0.007692308)</f>
        <v>0</v>
      </c>
      <c r="AQ144" s="33" t="s">
        <v>53</v>
      </c>
      <c r="AV144" s="30">
        <f t="shared" si="83"/>
        <v>0</v>
      </c>
      <c r="AW144" s="30">
        <f t="shared" si="84"/>
        <v>0</v>
      </c>
      <c r="AX144" s="30">
        <f t="shared" si="85"/>
        <v>0</v>
      </c>
      <c r="AY144" s="33" t="s">
        <v>114</v>
      </c>
      <c r="AZ144" s="33" t="s">
        <v>400</v>
      </c>
      <c r="BA144" s="10" t="s">
        <v>401</v>
      </c>
      <c r="BC144" s="30">
        <f t="shared" si="86"/>
        <v>0</v>
      </c>
      <c r="BD144" s="30">
        <f t="shared" si="87"/>
        <v>0</v>
      </c>
      <c r="BE144" s="30">
        <v>0</v>
      </c>
      <c r="BF144" s="30">
        <f t="shared" si="88"/>
        <v>0</v>
      </c>
      <c r="BH144" s="30">
        <f t="shared" si="89"/>
        <v>0</v>
      </c>
      <c r="BI144" s="30">
        <f t="shared" si="90"/>
        <v>0</v>
      </c>
      <c r="BJ144" s="30">
        <f t="shared" si="91"/>
        <v>0</v>
      </c>
      <c r="BK144" s="30"/>
      <c r="BL144" s="30">
        <v>18</v>
      </c>
      <c r="BW144" s="30">
        <v>21</v>
      </c>
      <c r="BX144" s="4" t="s">
        <v>120</v>
      </c>
    </row>
    <row r="145" spans="1:76" ht="15">
      <c r="A145" s="2" t="s">
        <v>356</v>
      </c>
      <c r="B145" s="3" t="s">
        <v>395</v>
      </c>
      <c r="C145" s="3" t="s">
        <v>129</v>
      </c>
      <c r="D145" s="116" t="s">
        <v>130</v>
      </c>
      <c r="E145" s="111"/>
      <c r="F145" s="3" t="s">
        <v>131</v>
      </c>
      <c r="G145" s="30">
        <v>22.05</v>
      </c>
      <c r="H145" s="31">
        <v>0</v>
      </c>
      <c r="I145" s="30">
        <f t="shared" si="70"/>
        <v>0</v>
      </c>
      <c r="J145" s="30">
        <v>0.001</v>
      </c>
      <c r="K145" s="32">
        <f t="shared" si="71"/>
        <v>0.02205</v>
      </c>
      <c r="Z145" s="30">
        <f t="shared" si="72"/>
        <v>0</v>
      </c>
      <c r="AB145" s="30">
        <f t="shared" si="73"/>
        <v>0</v>
      </c>
      <c r="AC145" s="30">
        <f t="shared" si="74"/>
        <v>0</v>
      </c>
      <c r="AD145" s="30">
        <f t="shared" si="75"/>
        <v>0</v>
      </c>
      <c r="AE145" s="30">
        <f t="shared" si="76"/>
        <v>0</v>
      </c>
      <c r="AF145" s="30">
        <f t="shared" si="77"/>
        <v>0</v>
      </c>
      <c r="AG145" s="30">
        <f t="shared" si="78"/>
        <v>0</v>
      </c>
      <c r="AH145" s="30">
        <f t="shared" si="79"/>
        <v>0</v>
      </c>
      <c r="AI145" s="10" t="s">
        <v>395</v>
      </c>
      <c r="AJ145" s="30">
        <f t="shared" si="80"/>
        <v>0</v>
      </c>
      <c r="AK145" s="30">
        <f t="shared" si="81"/>
        <v>0</v>
      </c>
      <c r="AL145" s="30">
        <f t="shared" si="82"/>
        <v>0</v>
      </c>
      <c r="AN145" s="30">
        <v>21</v>
      </c>
      <c r="AO145" s="30">
        <f>H145*1</f>
        <v>0</v>
      </c>
      <c r="AP145" s="30">
        <f>H145*(1-1)</f>
        <v>0</v>
      </c>
      <c r="AQ145" s="33" t="s">
        <v>53</v>
      </c>
      <c r="AV145" s="30">
        <f t="shared" si="83"/>
        <v>0</v>
      </c>
      <c r="AW145" s="30">
        <f t="shared" si="84"/>
        <v>0</v>
      </c>
      <c r="AX145" s="30">
        <f t="shared" si="85"/>
        <v>0</v>
      </c>
      <c r="AY145" s="33" t="s">
        <v>114</v>
      </c>
      <c r="AZ145" s="33" t="s">
        <v>400</v>
      </c>
      <c r="BA145" s="10" t="s">
        <v>401</v>
      </c>
      <c r="BC145" s="30">
        <f t="shared" si="86"/>
        <v>0</v>
      </c>
      <c r="BD145" s="30">
        <f t="shared" si="87"/>
        <v>0</v>
      </c>
      <c r="BE145" s="30">
        <v>0</v>
      </c>
      <c r="BF145" s="30">
        <f t="shared" si="88"/>
        <v>0.02205</v>
      </c>
      <c r="BH145" s="30">
        <f t="shared" si="89"/>
        <v>0</v>
      </c>
      <c r="BI145" s="30">
        <f t="shared" si="90"/>
        <v>0</v>
      </c>
      <c r="BJ145" s="30">
        <f t="shared" si="91"/>
        <v>0</v>
      </c>
      <c r="BK145" s="30"/>
      <c r="BL145" s="30">
        <v>18</v>
      </c>
      <c r="BW145" s="30">
        <v>21</v>
      </c>
      <c r="BX145" s="4" t="s">
        <v>130</v>
      </c>
    </row>
    <row r="146" spans="1:76" ht="15">
      <c r="A146" s="2" t="s">
        <v>362</v>
      </c>
      <c r="B146" s="3" t="s">
        <v>395</v>
      </c>
      <c r="C146" s="3" t="s">
        <v>125</v>
      </c>
      <c r="D146" s="116" t="s">
        <v>126</v>
      </c>
      <c r="E146" s="111"/>
      <c r="F146" s="3" t="s">
        <v>127</v>
      </c>
      <c r="G146" s="30">
        <v>7.35</v>
      </c>
      <c r="H146" s="31">
        <v>0</v>
      </c>
      <c r="I146" s="30">
        <f t="shared" si="70"/>
        <v>0</v>
      </c>
      <c r="J146" s="30">
        <v>0.001</v>
      </c>
      <c r="K146" s="32">
        <f t="shared" si="71"/>
        <v>0.00735</v>
      </c>
      <c r="Z146" s="30">
        <f t="shared" si="72"/>
        <v>0</v>
      </c>
      <c r="AB146" s="30">
        <f t="shared" si="73"/>
        <v>0</v>
      </c>
      <c r="AC146" s="30">
        <f t="shared" si="74"/>
        <v>0</v>
      </c>
      <c r="AD146" s="30">
        <f t="shared" si="75"/>
        <v>0</v>
      </c>
      <c r="AE146" s="30">
        <f t="shared" si="76"/>
        <v>0</v>
      </c>
      <c r="AF146" s="30">
        <f t="shared" si="77"/>
        <v>0</v>
      </c>
      <c r="AG146" s="30">
        <f t="shared" si="78"/>
        <v>0</v>
      </c>
      <c r="AH146" s="30">
        <f t="shared" si="79"/>
        <v>0</v>
      </c>
      <c r="AI146" s="10" t="s">
        <v>395</v>
      </c>
      <c r="AJ146" s="30">
        <f t="shared" si="80"/>
        <v>0</v>
      </c>
      <c r="AK146" s="30">
        <f t="shared" si="81"/>
        <v>0</v>
      </c>
      <c r="AL146" s="30">
        <f t="shared" si="82"/>
        <v>0</v>
      </c>
      <c r="AN146" s="30">
        <v>21</v>
      </c>
      <c r="AO146" s="30">
        <f>H146*1</f>
        <v>0</v>
      </c>
      <c r="AP146" s="30">
        <f>H146*(1-1)</f>
        <v>0</v>
      </c>
      <c r="AQ146" s="33" t="s">
        <v>53</v>
      </c>
      <c r="AV146" s="30">
        <f t="shared" si="83"/>
        <v>0</v>
      </c>
      <c r="AW146" s="30">
        <f t="shared" si="84"/>
        <v>0</v>
      </c>
      <c r="AX146" s="30">
        <f t="shared" si="85"/>
        <v>0</v>
      </c>
      <c r="AY146" s="33" t="s">
        <v>114</v>
      </c>
      <c r="AZ146" s="33" t="s">
        <v>400</v>
      </c>
      <c r="BA146" s="10" t="s">
        <v>401</v>
      </c>
      <c r="BC146" s="30">
        <f t="shared" si="86"/>
        <v>0</v>
      </c>
      <c r="BD146" s="30">
        <f t="shared" si="87"/>
        <v>0</v>
      </c>
      <c r="BE146" s="30">
        <v>0</v>
      </c>
      <c r="BF146" s="30">
        <f t="shared" si="88"/>
        <v>0.00735</v>
      </c>
      <c r="BH146" s="30">
        <f t="shared" si="89"/>
        <v>0</v>
      </c>
      <c r="BI146" s="30">
        <f t="shared" si="90"/>
        <v>0</v>
      </c>
      <c r="BJ146" s="30">
        <f t="shared" si="91"/>
        <v>0</v>
      </c>
      <c r="BK146" s="30"/>
      <c r="BL146" s="30">
        <v>18</v>
      </c>
      <c r="BW146" s="30">
        <v>21</v>
      </c>
      <c r="BX146" s="4" t="s">
        <v>126</v>
      </c>
    </row>
    <row r="147" spans="1:76" ht="15">
      <c r="A147" s="2" t="s">
        <v>414</v>
      </c>
      <c r="B147" s="3" t="s">
        <v>395</v>
      </c>
      <c r="C147" s="3" t="s">
        <v>122</v>
      </c>
      <c r="D147" s="116" t="s">
        <v>123</v>
      </c>
      <c r="E147" s="111"/>
      <c r="F147" s="3" t="s">
        <v>56</v>
      </c>
      <c r="G147" s="30">
        <v>335</v>
      </c>
      <c r="H147" s="31">
        <v>0</v>
      </c>
      <c r="I147" s="30">
        <f t="shared" si="70"/>
        <v>0</v>
      </c>
      <c r="J147" s="30">
        <v>0</v>
      </c>
      <c r="K147" s="32">
        <f t="shared" si="71"/>
        <v>0</v>
      </c>
      <c r="Z147" s="30">
        <f t="shared" si="72"/>
        <v>0</v>
      </c>
      <c r="AB147" s="30">
        <f t="shared" si="73"/>
        <v>0</v>
      </c>
      <c r="AC147" s="30">
        <f t="shared" si="74"/>
        <v>0</v>
      </c>
      <c r="AD147" s="30">
        <f t="shared" si="75"/>
        <v>0</v>
      </c>
      <c r="AE147" s="30">
        <f t="shared" si="76"/>
        <v>0</v>
      </c>
      <c r="AF147" s="30">
        <f t="shared" si="77"/>
        <v>0</v>
      </c>
      <c r="AG147" s="30">
        <f t="shared" si="78"/>
        <v>0</v>
      </c>
      <c r="AH147" s="30">
        <f t="shared" si="79"/>
        <v>0</v>
      </c>
      <c r="AI147" s="10" t="s">
        <v>395</v>
      </c>
      <c r="AJ147" s="30">
        <f t="shared" si="80"/>
        <v>0</v>
      </c>
      <c r="AK147" s="30">
        <f t="shared" si="81"/>
        <v>0</v>
      </c>
      <c r="AL147" s="30">
        <f t="shared" si="82"/>
        <v>0</v>
      </c>
      <c r="AN147" s="30">
        <v>21</v>
      </c>
      <c r="AO147" s="30">
        <f>H147*0</f>
        <v>0</v>
      </c>
      <c r="AP147" s="30">
        <f>H147*(1-0)</f>
        <v>0</v>
      </c>
      <c r="AQ147" s="33" t="s">
        <v>53</v>
      </c>
      <c r="AV147" s="30">
        <f t="shared" si="83"/>
        <v>0</v>
      </c>
      <c r="AW147" s="30">
        <f t="shared" si="84"/>
        <v>0</v>
      </c>
      <c r="AX147" s="30">
        <f t="shared" si="85"/>
        <v>0</v>
      </c>
      <c r="AY147" s="33" t="s">
        <v>114</v>
      </c>
      <c r="AZ147" s="33" t="s">
        <v>400</v>
      </c>
      <c r="BA147" s="10" t="s">
        <v>401</v>
      </c>
      <c r="BC147" s="30">
        <f t="shared" si="86"/>
        <v>0</v>
      </c>
      <c r="BD147" s="30">
        <f t="shared" si="87"/>
        <v>0</v>
      </c>
      <c r="BE147" s="30">
        <v>0</v>
      </c>
      <c r="BF147" s="30">
        <f t="shared" si="88"/>
        <v>0</v>
      </c>
      <c r="BH147" s="30">
        <f t="shared" si="89"/>
        <v>0</v>
      </c>
      <c r="BI147" s="30">
        <f t="shared" si="90"/>
        <v>0</v>
      </c>
      <c r="BJ147" s="30">
        <f t="shared" si="91"/>
        <v>0</v>
      </c>
      <c r="BK147" s="30"/>
      <c r="BL147" s="30">
        <v>18</v>
      </c>
      <c r="BW147" s="30">
        <v>21</v>
      </c>
      <c r="BX147" s="4" t="s">
        <v>123</v>
      </c>
    </row>
    <row r="148" spans="1:76" ht="15">
      <c r="A148" s="2" t="s">
        <v>415</v>
      </c>
      <c r="B148" s="3" t="s">
        <v>395</v>
      </c>
      <c r="C148" s="3" t="s">
        <v>416</v>
      </c>
      <c r="D148" s="116" t="s">
        <v>417</v>
      </c>
      <c r="E148" s="111"/>
      <c r="F148" s="3" t="s">
        <v>135</v>
      </c>
      <c r="G148" s="30">
        <v>595</v>
      </c>
      <c r="H148" s="31">
        <v>0</v>
      </c>
      <c r="I148" s="30">
        <f t="shared" si="70"/>
        <v>0</v>
      </c>
      <c r="J148" s="30">
        <v>0</v>
      </c>
      <c r="K148" s="32">
        <f t="shared" si="71"/>
        <v>0</v>
      </c>
      <c r="Z148" s="30">
        <f t="shared" si="72"/>
        <v>0</v>
      </c>
      <c r="AB148" s="30">
        <f t="shared" si="73"/>
        <v>0</v>
      </c>
      <c r="AC148" s="30">
        <f t="shared" si="74"/>
        <v>0</v>
      </c>
      <c r="AD148" s="30">
        <f t="shared" si="75"/>
        <v>0</v>
      </c>
      <c r="AE148" s="30">
        <f t="shared" si="76"/>
        <v>0</v>
      </c>
      <c r="AF148" s="30">
        <f t="shared" si="77"/>
        <v>0</v>
      </c>
      <c r="AG148" s="30">
        <f t="shared" si="78"/>
        <v>0</v>
      </c>
      <c r="AH148" s="30">
        <f t="shared" si="79"/>
        <v>0</v>
      </c>
      <c r="AI148" s="10" t="s">
        <v>395</v>
      </c>
      <c r="AJ148" s="30">
        <f t="shared" si="80"/>
        <v>0</v>
      </c>
      <c r="AK148" s="30">
        <f t="shared" si="81"/>
        <v>0</v>
      </c>
      <c r="AL148" s="30">
        <f t="shared" si="82"/>
        <v>0</v>
      </c>
      <c r="AN148" s="30">
        <v>21</v>
      </c>
      <c r="AO148" s="30">
        <f>H148*0</f>
        <v>0</v>
      </c>
      <c r="AP148" s="30">
        <f>H148*(1-0)</f>
        <v>0</v>
      </c>
      <c r="AQ148" s="33" t="s">
        <v>53</v>
      </c>
      <c r="AV148" s="30">
        <f t="shared" si="83"/>
        <v>0</v>
      </c>
      <c r="AW148" s="30">
        <f t="shared" si="84"/>
        <v>0</v>
      </c>
      <c r="AX148" s="30">
        <f t="shared" si="85"/>
        <v>0</v>
      </c>
      <c r="AY148" s="33" t="s">
        <v>114</v>
      </c>
      <c r="AZ148" s="33" t="s">
        <v>400</v>
      </c>
      <c r="BA148" s="10" t="s">
        <v>401</v>
      </c>
      <c r="BC148" s="30">
        <f t="shared" si="86"/>
        <v>0</v>
      </c>
      <c r="BD148" s="30">
        <f t="shared" si="87"/>
        <v>0</v>
      </c>
      <c r="BE148" s="30">
        <v>0</v>
      </c>
      <c r="BF148" s="30">
        <f t="shared" si="88"/>
        <v>0</v>
      </c>
      <c r="BH148" s="30">
        <f t="shared" si="89"/>
        <v>0</v>
      </c>
      <c r="BI148" s="30">
        <f t="shared" si="90"/>
        <v>0</v>
      </c>
      <c r="BJ148" s="30">
        <f t="shared" si="91"/>
        <v>0</v>
      </c>
      <c r="BK148" s="30"/>
      <c r="BL148" s="30">
        <v>18</v>
      </c>
      <c r="BW148" s="30">
        <v>21</v>
      </c>
      <c r="BX148" s="4" t="s">
        <v>417</v>
      </c>
    </row>
    <row r="149" spans="1:76" ht="15">
      <c r="A149" s="2" t="s">
        <v>418</v>
      </c>
      <c r="B149" s="3" t="s">
        <v>395</v>
      </c>
      <c r="C149" s="3" t="s">
        <v>419</v>
      </c>
      <c r="D149" s="116" t="s">
        <v>420</v>
      </c>
      <c r="E149" s="111"/>
      <c r="F149" s="3" t="s">
        <v>135</v>
      </c>
      <c r="G149" s="30">
        <v>595</v>
      </c>
      <c r="H149" s="31">
        <v>0</v>
      </c>
      <c r="I149" s="30">
        <f t="shared" si="70"/>
        <v>0</v>
      </c>
      <c r="J149" s="30">
        <v>0</v>
      </c>
      <c r="K149" s="32">
        <f t="shared" si="71"/>
        <v>0</v>
      </c>
      <c r="Z149" s="30">
        <f t="shared" si="72"/>
        <v>0</v>
      </c>
      <c r="AB149" s="30">
        <f t="shared" si="73"/>
        <v>0</v>
      </c>
      <c r="AC149" s="30">
        <f t="shared" si="74"/>
        <v>0</v>
      </c>
      <c r="AD149" s="30">
        <f t="shared" si="75"/>
        <v>0</v>
      </c>
      <c r="AE149" s="30">
        <f t="shared" si="76"/>
        <v>0</v>
      </c>
      <c r="AF149" s="30">
        <f t="shared" si="77"/>
        <v>0</v>
      </c>
      <c r="AG149" s="30">
        <f t="shared" si="78"/>
        <v>0</v>
      </c>
      <c r="AH149" s="30">
        <f t="shared" si="79"/>
        <v>0</v>
      </c>
      <c r="AI149" s="10" t="s">
        <v>395</v>
      </c>
      <c r="AJ149" s="30">
        <f t="shared" si="80"/>
        <v>0</v>
      </c>
      <c r="AK149" s="30">
        <f t="shared" si="81"/>
        <v>0</v>
      </c>
      <c r="AL149" s="30">
        <f t="shared" si="82"/>
        <v>0</v>
      </c>
      <c r="AN149" s="30">
        <v>21</v>
      </c>
      <c r="AO149" s="30">
        <f>H149*0.045845272</f>
        <v>0</v>
      </c>
      <c r="AP149" s="30">
        <f>H149*(1-0.045845272)</f>
        <v>0</v>
      </c>
      <c r="AQ149" s="33" t="s">
        <v>53</v>
      </c>
      <c r="AV149" s="30">
        <f t="shared" si="83"/>
        <v>0</v>
      </c>
      <c r="AW149" s="30">
        <f t="shared" si="84"/>
        <v>0</v>
      </c>
      <c r="AX149" s="30">
        <f t="shared" si="85"/>
        <v>0</v>
      </c>
      <c r="AY149" s="33" t="s">
        <v>114</v>
      </c>
      <c r="AZ149" s="33" t="s">
        <v>400</v>
      </c>
      <c r="BA149" s="10" t="s">
        <v>401</v>
      </c>
      <c r="BC149" s="30">
        <f t="shared" si="86"/>
        <v>0</v>
      </c>
      <c r="BD149" s="30">
        <f t="shared" si="87"/>
        <v>0</v>
      </c>
      <c r="BE149" s="30">
        <v>0</v>
      </c>
      <c r="BF149" s="30">
        <f t="shared" si="88"/>
        <v>0</v>
      </c>
      <c r="BH149" s="30">
        <f t="shared" si="89"/>
        <v>0</v>
      </c>
      <c r="BI149" s="30">
        <f t="shared" si="90"/>
        <v>0</v>
      </c>
      <c r="BJ149" s="30">
        <f t="shared" si="91"/>
        <v>0</v>
      </c>
      <c r="BK149" s="30"/>
      <c r="BL149" s="30">
        <v>18</v>
      </c>
      <c r="BW149" s="30">
        <v>21</v>
      </c>
      <c r="BX149" s="4" t="s">
        <v>420</v>
      </c>
    </row>
    <row r="150" spans="1:11" ht="13.5" customHeight="1">
      <c r="A150" s="34"/>
      <c r="C150" s="35" t="s">
        <v>231</v>
      </c>
      <c r="D150" s="137" t="s">
        <v>421</v>
      </c>
      <c r="E150" s="138"/>
      <c r="F150" s="138"/>
      <c r="G150" s="138"/>
      <c r="H150" s="139"/>
      <c r="I150" s="138"/>
      <c r="J150" s="138"/>
      <c r="K150" s="140"/>
    </row>
    <row r="151" spans="1:76" ht="15">
      <c r="A151" s="2" t="s">
        <v>422</v>
      </c>
      <c r="B151" s="3" t="s">
        <v>395</v>
      </c>
      <c r="C151" s="3" t="s">
        <v>423</v>
      </c>
      <c r="D151" s="116" t="s">
        <v>424</v>
      </c>
      <c r="E151" s="111"/>
      <c r="F151" s="3" t="s">
        <v>135</v>
      </c>
      <c r="G151" s="30">
        <v>595</v>
      </c>
      <c r="H151" s="31">
        <v>0</v>
      </c>
      <c r="I151" s="30">
        <f>G151*H151</f>
        <v>0</v>
      </c>
      <c r="J151" s="30">
        <v>0.0006</v>
      </c>
      <c r="K151" s="32">
        <f>G151*J151</f>
        <v>0.357</v>
      </c>
      <c r="Z151" s="30">
        <f>IF(AQ151="5",BJ151,0)</f>
        <v>0</v>
      </c>
      <c r="AB151" s="30">
        <f>IF(AQ151="1",BH151,0)</f>
        <v>0</v>
      </c>
      <c r="AC151" s="30">
        <f>IF(AQ151="1",BI151,0)</f>
        <v>0</v>
      </c>
      <c r="AD151" s="30">
        <f>IF(AQ151="7",BH151,0)</f>
        <v>0</v>
      </c>
      <c r="AE151" s="30">
        <f>IF(AQ151="7",BI151,0)</f>
        <v>0</v>
      </c>
      <c r="AF151" s="30">
        <f>IF(AQ151="2",BH151,0)</f>
        <v>0</v>
      </c>
      <c r="AG151" s="30">
        <f>IF(AQ151="2",BI151,0)</f>
        <v>0</v>
      </c>
      <c r="AH151" s="30">
        <f>IF(AQ151="0",BJ151,0)</f>
        <v>0</v>
      </c>
      <c r="AI151" s="10" t="s">
        <v>395</v>
      </c>
      <c r="AJ151" s="30">
        <f>IF(AN151=0,I151,0)</f>
        <v>0</v>
      </c>
      <c r="AK151" s="30">
        <f>IF(AN151=12,I151,0)</f>
        <v>0</v>
      </c>
      <c r="AL151" s="30">
        <f>IF(AN151=21,I151,0)</f>
        <v>0</v>
      </c>
      <c r="AN151" s="30">
        <v>21</v>
      </c>
      <c r="AO151" s="30">
        <f>H151*1</f>
        <v>0</v>
      </c>
      <c r="AP151" s="30">
        <f>H151*(1-1)</f>
        <v>0</v>
      </c>
      <c r="AQ151" s="33" t="s">
        <v>53</v>
      </c>
      <c r="AV151" s="30">
        <f>AW151+AX151</f>
        <v>0</v>
      </c>
      <c r="AW151" s="30">
        <f>G151*AO151</f>
        <v>0</v>
      </c>
      <c r="AX151" s="30">
        <f>G151*AP151</f>
        <v>0</v>
      </c>
      <c r="AY151" s="33" t="s">
        <v>114</v>
      </c>
      <c r="AZ151" s="33" t="s">
        <v>400</v>
      </c>
      <c r="BA151" s="10" t="s">
        <v>401</v>
      </c>
      <c r="BC151" s="30">
        <f>AW151+AX151</f>
        <v>0</v>
      </c>
      <c r="BD151" s="30">
        <f>H151/(100-BE151)*100</f>
        <v>0</v>
      </c>
      <c r="BE151" s="30">
        <v>0</v>
      </c>
      <c r="BF151" s="30">
        <f>K151</f>
        <v>0.357</v>
      </c>
      <c r="BH151" s="30">
        <f>G151*AO151</f>
        <v>0</v>
      </c>
      <c r="BI151" s="30">
        <f>G151*AP151</f>
        <v>0</v>
      </c>
      <c r="BJ151" s="30">
        <f>G151*H151</f>
        <v>0</v>
      </c>
      <c r="BK151" s="30"/>
      <c r="BL151" s="30">
        <v>18</v>
      </c>
      <c r="BW151" s="30">
        <v>21</v>
      </c>
      <c r="BX151" s="4" t="s">
        <v>424</v>
      </c>
    </row>
    <row r="152" spans="1:76" ht="15">
      <c r="A152" s="2" t="s">
        <v>425</v>
      </c>
      <c r="B152" s="3" t="s">
        <v>395</v>
      </c>
      <c r="C152" s="3" t="s">
        <v>177</v>
      </c>
      <c r="D152" s="116" t="s">
        <v>178</v>
      </c>
      <c r="E152" s="111"/>
      <c r="F152" s="3" t="s">
        <v>179</v>
      </c>
      <c r="G152" s="30">
        <v>5</v>
      </c>
      <c r="H152" s="31">
        <v>0</v>
      </c>
      <c r="I152" s="30">
        <f>G152*H152</f>
        <v>0</v>
      </c>
      <c r="J152" s="30">
        <v>0</v>
      </c>
      <c r="K152" s="32">
        <f>G152*J152</f>
        <v>0</v>
      </c>
      <c r="Z152" s="30">
        <f>IF(AQ152="5",BJ152,0)</f>
        <v>0</v>
      </c>
      <c r="AB152" s="30">
        <f>IF(AQ152="1",BH152,0)</f>
        <v>0</v>
      </c>
      <c r="AC152" s="30">
        <f>IF(AQ152="1",BI152,0)</f>
        <v>0</v>
      </c>
      <c r="AD152" s="30">
        <f>IF(AQ152="7",BH152,0)</f>
        <v>0</v>
      </c>
      <c r="AE152" s="30">
        <f>IF(AQ152="7",BI152,0)</f>
        <v>0</v>
      </c>
      <c r="AF152" s="30">
        <f>IF(AQ152="2",BH152,0)</f>
        <v>0</v>
      </c>
      <c r="AG152" s="30">
        <f>IF(AQ152="2",BI152,0)</f>
        <v>0</v>
      </c>
      <c r="AH152" s="30">
        <f>IF(AQ152="0",BJ152,0)</f>
        <v>0</v>
      </c>
      <c r="AI152" s="10" t="s">
        <v>395</v>
      </c>
      <c r="AJ152" s="30">
        <f>IF(AN152=0,I152,0)</f>
        <v>0</v>
      </c>
      <c r="AK152" s="30">
        <f>IF(AN152=12,I152,0)</f>
        <v>0</v>
      </c>
      <c r="AL152" s="30">
        <f>IF(AN152=21,I152,0)</f>
        <v>0</v>
      </c>
      <c r="AN152" s="30">
        <v>21</v>
      </c>
      <c r="AO152" s="30">
        <f>H152*0</f>
        <v>0</v>
      </c>
      <c r="AP152" s="30">
        <f>H152*(1-0)</f>
        <v>0</v>
      </c>
      <c r="AQ152" s="33" t="s">
        <v>53</v>
      </c>
      <c r="AV152" s="30">
        <f>AW152+AX152</f>
        <v>0</v>
      </c>
      <c r="AW152" s="30">
        <f>G152*AO152</f>
        <v>0</v>
      </c>
      <c r="AX152" s="30">
        <f>G152*AP152</f>
        <v>0</v>
      </c>
      <c r="AY152" s="33" t="s">
        <v>114</v>
      </c>
      <c r="AZ152" s="33" t="s">
        <v>400</v>
      </c>
      <c r="BA152" s="10" t="s">
        <v>401</v>
      </c>
      <c r="BC152" s="30">
        <f>AW152+AX152</f>
        <v>0</v>
      </c>
      <c r="BD152" s="30">
        <f>H152/(100-BE152)*100</f>
        <v>0</v>
      </c>
      <c r="BE152" s="30">
        <v>0</v>
      </c>
      <c r="BF152" s="30">
        <f>K152</f>
        <v>0</v>
      </c>
      <c r="BH152" s="30">
        <f>G152*AO152</f>
        <v>0</v>
      </c>
      <c r="BI152" s="30">
        <f>G152*AP152</f>
        <v>0</v>
      </c>
      <c r="BJ152" s="30">
        <f>G152*H152</f>
        <v>0</v>
      </c>
      <c r="BK152" s="30"/>
      <c r="BL152" s="30">
        <v>18</v>
      </c>
      <c r="BW152" s="30">
        <v>21</v>
      </c>
      <c r="BX152" s="4" t="s">
        <v>178</v>
      </c>
    </row>
    <row r="153" spans="1:47" ht="15">
      <c r="A153" s="25" t="s">
        <v>48</v>
      </c>
      <c r="B153" s="26" t="s">
        <v>395</v>
      </c>
      <c r="C153" s="26" t="s">
        <v>152</v>
      </c>
      <c r="D153" s="135" t="s">
        <v>197</v>
      </c>
      <c r="E153" s="136"/>
      <c r="F153" s="27" t="s">
        <v>4</v>
      </c>
      <c r="G153" s="27" t="s">
        <v>4</v>
      </c>
      <c r="H153" s="28" t="s">
        <v>4</v>
      </c>
      <c r="I153" s="1">
        <f>SUM(I154:I155)</f>
        <v>0</v>
      </c>
      <c r="J153" s="10" t="s">
        <v>48</v>
      </c>
      <c r="K153" s="29">
        <f>SUM(K154:K155)</f>
        <v>0.138</v>
      </c>
      <c r="AI153" s="10" t="s">
        <v>395</v>
      </c>
      <c r="AS153" s="1">
        <f>SUM(AJ154:AJ155)</f>
        <v>0</v>
      </c>
      <c r="AT153" s="1">
        <f>SUM(AK154:AK155)</f>
        <v>0</v>
      </c>
      <c r="AU153" s="1">
        <f>SUM(AL154:AL155)</f>
        <v>0</v>
      </c>
    </row>
    <row r="154" spans="1:76" ht="15">
      <c r="A154" s="2" t="s">
        <v>426</v>
      </c>
      <c r="B154" s="3" t="s">
        <v>395</v>
      </c>
      <c r="C154" s="3" t="s">
        <v>199</v>
      </c>
      <c r="D154" s="116" t="s">
        <v>200</v>
      </c>
      <c r="E154" s="111"/>
      <c r="F154" s="3" t="s">
        <v>56</v>
      </c>
      <c r="G154" s="30">
        <v>400</v>
      </c>
      <c r="H154" s="31">
        <v>0</v>
      </c>
      <c r="I154" s="30">
        <f>G154*H154</f>
        <v>0</v>
      </c>
      <c r="J154" s="30">
        <v>3E-05</v>
      </c>
      <c r="K154" s="32">
        <f>G154*J154</f>
        <v>0.012</v>
      </c>
      <c r="Z154" s="30">
        <f>IF(AQ154="5",BJ154,0)</f>
        <v>0</v>
      </c>
      <c r="AB154" s="30">
        <f>IF(AQ154="1",BH154,0)</f>
        <v>0</v>
      </c>
      <c r="AC154" s="30">
        <f>IF(AQ154="1",BI154,0)</f>
        <v>0</v>
      </c>
      <c r="AD154" s="30">
        <f>IF(AQ154="7",BH154,0)</f>
        <v>0</v>
      </c>
      <c r="AE154" s="30">
        <f>IF(AQ154="7",BI154,0)</f>
        <v>0</v>
      </c>
      <c r="AF154" s="30">
        <f>IF(AQ154="2",BH154,0)</f>
        <v>0</v>
      </c>
      <c r="AG154" s="30">
        <f>IF(AQ154="2",BI154,0)</f>
        <v>0</v>
      </c>
      <c r="AH154" s="30">
        <f>IF(AQ154="0",BJ154,0)</f>
        <v>0</v>
      </c>
      <c r="AI154" s="10" t="s">
        <v>395</v>
      </c>
      <c r="AJ154" s="30">
        <f>IF(AN154=0,I154,0)</f>
        <v>0</v>
      </c>
      <c r="AK154" s="30">
        <f>IF(AN154=12,I154,0)</f>
        <v>0</v>
      </c>
      <c r="AL154" s="30">
        <f>IF(AN154=21,I154,0)</f>
        <v>0</v>
      </c>
      <c r="AN154" s="30">
        <v>21</v>
      </c>
      <c r="AO154" s="30">
        <f>H154*0.021585903</f>
        <v>0</v>
      </c>
      <c r="AP154" s="30">
        <f>H154*(1-0.021585903)</f>
        <v>0</v>
      </c>
      <c r="AQ154" s="33" t="s">
        <v>53</v>
      </c>
      <c r="AV154" s="30">
        <f>AW154+AX154</f>
        <v>0</v>
      </c>
      <c r="AW154" s="30">
        <f>G154*AO154</f>
        <v>0</v>
      </c>
      <c r="AX154" s="30">
        <f>G154*AP154</f>
        <v>0</v>
      </c>
      <c r="AY154" s="33" t="s">
        <v>201</v>
      </c>
      <c r="AZ154" s="33" t="s">
        <v>427</v>
      </c>
      <c r="BA154" s="10" t="s">
        <v>401</v>
      </c>
      <c r="BC154" s="30">
        <f>AW154+AX154</f>
        <v>0</v>
      </c>
      <c r="BD154" s="30">
        <f>H154/(100-BE154)*100</f>
        <v>0</v>
      </c>
      <c r="BE154" s="30">
        <v>0</v>
      </c>
      <c r="BF154" s="30">
        <f>K154</f>
        <v>0.012</v>
      </c>
      <c r="BH154" s="30">
        <f>G154*AO154</f>
        <v>0</v>
      </c>
      <c r="BI154" s="30">
        <f>G154*AP154</f>
        <v>0</v>
      </c>
      <c r="BJ154" s="30">
        <f>G154*H154</f>
        <v>0</v>
      </c>
      <c r="BK154" s="30"/>
      <c r="BL154" s="30">
        <v>28</v>
      </c>
      <c r="BW154" s="30">
        <v>21</v>
      </c>
      <c r="BX154" s="4" t="s">
        <v>200</v>
      </c>
    </row>
    <row r="155" spans="1:76" ht="15">
      <c r="A155" s="2" t="s">
        <v>428</v>
      </c>
      <c r="B155" s="3" t="s">
        <v>395</v>
      </c>
      <c r="C155" s="3" t="s">
        <v>204</v>
      </c>
      <c r="D155" s="116" t="s">
        <v>205</v>
      </c>
      <c r="E155" s="111"/>
      <c r="F155" s="3" t="s">
        <v>56</v>
      </c>
      <c r="G155" s="30">
        <v>420</v>
      </c>
      <c r="H155" s="31">
        <v>0</v>
      </c>
      <c r="I155" s="30">
        <f>G155*H155</f>
        <v>0</v>
      </c>
      <c r="J155" s="30">
        <v>0.0003</v>
      </c>
      <c r="K155" s="32">
        <f>G155*J155</f>
        <v>0.126</v>
      </c>
      <c r="Z155" s="30">
        <f>IF(AQ155="5",BJ155,0)</f>
        <v>0</v>
      </c>
      <c r="AB155" s="30">
        <f>IF(AQ155="1",BH155,0)</f>
        <v>0</v>
      </c>
      <c r="AC155" s="30">
        <f>IF(AQ155="1",BI155,0)</f>
        <v>0</v>
      </c>
      <c r="AD155" s="30">
        <f>IF(AQ155="7",BH155,0)</f>
        <v>0</v>
      </c>
      <c r="AE155" s="30">
        <f>IF(AQ155="7",BI155,0)</f>
        <v>0</v>
      </c>
      <c r="AF155" s="30">
        <f>IF(AQ155="2",BH155,0)</f>
        <v>0</v>
      </c>
      <c r="AG155" s="30">
        <f>IF(AQ155="2",BI155,0)</f>
        <v>0</v>
      </c>
      <c r="AH155" s="30">
        <f>IF(AQ155="0",BJ155,0)</f>
        <v>0</v>
      </c>
      <c r="AI155" s="10" t="s">
        <v>395</v>
      </c>
      <c r="AJ155" s="30">
        <f>IF(AN155=0,I155,0)</f>
        <v>0</v>
      </c>
      <c r="AK155" s="30">
        <f>IF(AN155=12,I155,0)</f>
        <v>0</v>
      </c>
      <c r="AL155" s="30">
        <f>IF(AN155=21,I155,0)</f>
        <v>0</v>
      </c>
      <c r="AN155" s="30">
        <v>21</v>
      </c>
      <c r="AO155" s="30">
        <f>H155*1</f>
        <v>0</v>
      </c>
      <c r="AP155" s="30">
        <f>H155*(1-1)</f>
        <v>0</v>
      </c>
      <c r="AQ155" s="33" t="s">
        <v>53</v>
      </c>
      <c r="AV155" s="30">
        <f>AW155+AX155</f>
        <v>0</v>
      </c>
      <c r="AW155" s="30">
        <f>G155*AO155</f>
        <v>0</v>
      </c>
      <c r="AX155" s="30">
        <f>G155*AP155</f>
        <v>0</v>
      </c>
      <c r="AY155" s="33" t="s">
        <v>201</v>
      </c>
      <c r="AZ155" s="33" t="s">
        <v>427</v>
      </c>
      <c r="BA155" s="10" t="s">
        <v>401</v>
      </c>
      <c r="BC155" s="30">
        <f>AW155+AX155</f>
        <v>0</v>
      </c>
      <c r="BD155" s="30">
        <f>H155/(100-BE155)*100</f>
        <v>0</v>
      </c>
      <c r="BE155" s="30">
        <v>0</v>
      </c>
      <c r="BF155" s="30">
        <f>K155</f>
        <v>0.126</v>
      </c>
      <c r="BH155" s="30">
        <f>G155*AO155</f>
        <v>0</v>
      </c>
      <c r="BI155" s="30">
        <f>G155*AP155</f>
        <v>0</v>
      </c>
      <c r="BJ155" s="30">
        <f>G155*H155</f>
        <v>0</v>
      </c>
      <c r="BK155" s="30"/>
      <c r="BL155" s="30">
        <v>28</v>
      </c>
      <c r="BW155" s="30">
        <v>21</v>
      </c>
      <c r="BX155" s="4" t="s">
        <v>205</v>
      </c>
    </row>
    <row r="156" spans="1:47" ht="15">
      <c r="A156" s="25" t="s">
        <v>48</v>
      </c>
      <c r="B156" s="26" t="s">
        <v>395</v>
      </c>
      <c r="C156" s="26" t="s">
        <v>167</v>
      </c>
      <c r="D156" s="135" t="s">
        <v>206</v>
      </c>
      <c r="E156" s="136"/>
      <c r="F156" s="27" t="s">
        <v>4</v>
      </c>
      <c r="G156" s="27" t="s">
        <v>4</v>
      </c>
      <c r="H156" s="28" t="s">
        <v>4</v>
      </c>
      <c r="I156" s="1">
        <f>SUM(I157:I162)</f>
        <v>0</v>
      </c>
      <c r="J156" s="10" t="s">
        <v>48</v>
      </c>
      <c r="K156" s="29">
        <f>SUM(K157:K162)</f>
        <v>4.0167600000000006</v>
      </c>
      <c r="AI156" s="10" t="s">
        <v>395</v>
      </c>
      <c r="AS156" s="1">
        <f>SUM(AJ157:AJ162)</f>
        <v>0</v>
      </c>
      <c r="AT156" s="1">
        <f>SUM(AK157:AK162)</f>
        <v>0</v>
      </c>
      <c r="AU156" s="1">
        <f>SUM(AL157:AL162)</f>
        <v>0</v>
      </c>
    </row>
    <row r="157" spans="1:76" ht="15">
      <c r="A157" s="2" t="s">
        <v>429</v>
      </c>
      <c r="B157" s="3" t="s">
        <v>395</v>
      </c>
      <c r="C157" s="3" t="s">
        <v>430</v>
      </c>
      <c r="D157" s="116" t="s">
        <v>431</v>
      </c>
      <c r="E157" s="111"/>
      <c r="F157" s="3" t="s">
        <v>135</v>
      </c>
      <c r="G157" s="30">
        <v>34</v>
      </c>
      <c r="H157" s="31">
        <v>0</v>
      </c>
      <c r="I157" s="30">
        <f>G157*H157</f>
        <v>0</v>
      </c>
      <c r="J157" s="30">
        <v>0.1</v>
      </c>
      <c r="K157" s="32">
        <f>G157*J157</f>
        <v>3.4000000000000004</v>
      </c>
      <c r="Z157" s="30">
        <f>IF(AQ157="5",BJ157,0)</f>
        <v>0</v>
      </c>
      <c r="AB157" s="30">
        <f>IF(AQ157="1",BH157,0)</f>
        <v>0</v>
      </c>
      <c r="AC157" s="30">
        <f>IF(AQ157="1",BI157,0)</f>
        <v>0</v>
      </c>
      <c r="AD157" s="30">
        <f>IF(AQ157="7",BH157,0)</f>
        <v>0</v>
      </c>
      <c r="AE157" s="30">
        <f>IF(AQ157="7",BI157,0)</f>
        <v>0</v>
      </c>
      <c r="AF157" s="30">
        <f>IF(AQ157="2",BH157,0)</f>
        <v>0</v>
      </c>
      <c r="AG157" s="30">
        <f>IF(AQ157="2",BI157,0)</f>
        <v>0</v>
      </c>
      <c r="AH157" s="30">
        <f>IF(AQ157="0",BJ157,0)</f>
        <v>0</v>
      </c>
      <c r="AI157" s="10" t="s">
        <v>395</v>
      </c>
      <c r="AJ157" s="30">
        <f>IF(AN157=0,I157,0)</f>
        <v>0</v>
      </c>
      <c r="AK157" s="30">
        <f>IF(AN157=12,I157,0)</f>
        <v>0</v>
      </c>
      <c r="AL157" s="30">
        <f>IF(AN157=21,I157,0)</f>
        <v>0</v>
      </c>
      <c r="AN157" s="30">
        <v>21</v>
      </c>
      <c r="AO157" s="30">
        <f>H157*0.402960969</f>
        <v>0</v>
      </c>
      <c r="AP157" s="30">
        <f>H157*(1-0.402960969)</f>
        <v>0</v>
      </c>
      <c r="AQ157" s="33" t="s">
        <v>53</v>
      </c>
      <c r="AV157" s="30">
        <f>AW157+AX157</f>
        <v>0</v>
      </c>
      <c r="AW157" s="30">
        <f>G157*AO157</f>
        <v>0</v>
      </c>
      <c r="AX157" s="30">
        <f>G157*AP157</f>
        <v>0</v>
      </c>
      <c r="AY157" s="33" t="s">
        <v>210</v>
      </c>
      <c r="AZ157" s="33" t="s">
        <v>432</v>
      </c>
      <c r="BA157" s="10" t="s">
        <v>401</v>
      </c>
      <c r="BC157" s="30">
        <f>AW157+AX157</f>
        <v>0</v>
      </c>
      <c r="BD157" s="30">
        <f>H157/(100-BE157)*100</f>
        <v>0</v>
      </c>
      <c r="BE157" s="30">
        <v>0</v>
      </c>
      <c r="BF157" s="30">
        <f>K157</f>
        <v>3.4000000000000004</v>
      </c>
      <c r="BH157" s="30">
        <f>G157*AO157</f>
        <v>0</v>
      </c>
      <c r="BI157" s="30">
        <f>G157*AP157</f>
        <v>0</v>
      </c>
      <c r="BJ157" s="30">
        <f>G157*H157</f>
        <v>0</v>
      </c>
      <c r="BK157" s="30"/>
      <c r="BL157" s="30">
        <v>33</v>
      </c>
      <c r="BW157" s="30">
        <v>21</v>
      </c>
      <c r="BX157" s="4" t="s">
        <v>431</v>
      </c>
    </row>
    <row r="158" spans="1:76" ht="15">
      <c r="A158" s="2" t="s">
        <v>433</v>
      </c>
      <c r="B158" s="3" t="s">
        <v>395</v>
      </c>
      <c r="C158" s="3" t="s">
        <v>434</v>
      </c>
      <c r="D158" s="116" t="s">
        <v>435</v>
      </c>
      <c r="E158" s="111"/>
      <c r="F158" s="3" t="s">
        <v>135</v>
      </c>
      <c r="G158" s="30">
        <v>32</v>
      </c>
      <c r="H158" s="31">
        <v>0</v>
      </c>
      <c r="I158" s="30">
        <f>G158*H158</f>
        <v>0</v>
      </c>
      <c r="J158" s="30">
        <v>0.00557</v>
      </c>
      <c r="K158" s="32">
        <f>G158*J158</f>
        <v>0.17824</v>
      </c>
      <c r="Z158" s="30">
        <f>IF(AQ158="5",BJ158,0)</f>
        <v>0</v>
      </c>
      <c r="AB158" s="30">
        <f>IF(AQ158="1",BH158,0)</f>
        <v>0</v>
      </c>
      <c r="AC158" s="30">
        <f>IF(AQ158="1",BI158,0)</f>
        <v>0</v>
      </c>
      <c r="AD158" s="30">
        <f>IF(AQ158="7",BH158,0)</f>
        <v>0</v>
      </c>
      <c r="AE158" s="30">
        <f>IF(AQ158="7",BI158,0)</f>
        <v>0</v>
      </c>
      <c r="AF158" s="30">
        <f>IF(AQ158="2",BH158,0)</f>
        <v>0</v>
      </c>
      <c r="AG158" s="30">
        <f>IF(AQ158="2",BI158,0)</f>
        <v>0</v>
      </c>
      <c r="AH158" s="30">
        <f>IF(AQ158="0",BJ158,0)</f>
        <v>0</v>
      </c>
      <c r="AI158" s="10" t="s">
        <v>395</v>
      </c>
      <c r="AJ158" s="30">
        <f>IF(AN158=0,I158,0)</f>
        <v>0</v>
      </c>
      <c r="AK158" s="30">
        <f>IF(AN158=12,I158,0)</f>
        <v>0</v>
      </c>
      <c r="AL158" s="30">
        <f>IF(AN158=21,I158,0)</f>
        <v>0</v>
      </c>
      <c r="AN158" s="30">
        <v>21</v>
      </c>
      <c r="AO158" s="30">
        <f>H158*1</f>
        <v>0</v>
      </c>
      <c r="AP158" s="30">
        <f>H158*(1-1)</f>
        <v>0</v>
      </c>
      <c r="AQ158" s="33" t="s">
        <v>53</v>
      </c>
      <c r="AV158" s="30">
        <f>AW158+AX158</f>
        <v>0</v>
      </c>
      <c r="AW158" s="30">
        <f>G158*AO158</f>
        <v>0</v>
      </c>
      <c r="AX158" s="30">
        <f>G158*AP158</f>
        <v>0</v>
      </c>
      <c r="AY158" s="33" t="s">
        <v>210</v>
      </c>
      <c r="AZ158" s="33" t="s">
        <v>432</v>
      </c>
      <c r="BA158" s="10" t="s">
        <v>401</v>
      </c>
      <c r="BC158" s="30">
        <f>AW158+AX158</f>
        <v>0</v>
      </c>
      <c r="BD158" s="30">
        <f>H158/(100-BE158)*100</f>
        <v>0</v>
      </c>
      <c r="BE158" s="30">
        <v>0</v>
      </c>
      <c r="BF158" s="30">
        <f>K158</f>
        <v>0.17824</v>
      </c>
      <c r="BH158" s="30">
        <f>G158*AO158</f>
        <v>0</v>
      </c>
      <c r="BI158" s="30">
        <f>G158*AP158</f>
        <v>0</v>
      </c>
      <c r="BJ158" s="30">
        <f>G158*H158</f>
        <v>0</v>
      </c>
      <c r="BK158" s="30"/>
      <c r="BL158" s="30">
        <v>33</v>
      </c>
      <c r="BW158" s="30">
        <v>21</v>
      </c>
      <c r="BX158" s="4" t="s">
        <v>435</v>
      </c>
    </row>
    <row r="159" spans="1:11" ht="13.5" customHeight="1">
      <c r="A159" s="34"/>
      <c r="C159" s="35" t="s">
        <v>231</v>
      </c>
      <c r="D159" s="137" t="s">
        <v>436</v>
      </c>
      <c r="E159" s="138"/>
      <c r="F159" s="138"/>
      <c r="G159" s="138"/>
      <c r="H159" s="139"/>
      <c r="I159" s="138"/>
      <c r="J159" s="138"/>
      <c r="K159" s="140"/>
    </row>
    <row r="160" spans="1:76" ht="15">
      <c r="A160" s="2" t="s">
        <v>437</v>
      </c>
      <c r="B160" s="3" t="s">
        <v>395</v>
      </c>
      <c r="C160" s="3" t="s">
        <v>434</v>
      </c>
      <c r="D160" s="116" t="s">
        <v>438</v>
      </c>
      <c r="E160" s="111"/>
      <c r="F160" s="3" t="s">
        <v>135</v>
      </c>
      <c r="G160" s="30">
        <v>2</v>
      </c>
      <c r="H160" s="31">
        <v>0</v>
      </c>
      <c r="I160" s="30">
        <f>G160*H160</f>
        <v>0</v>
      </c>
      <c r="J160" s="30">
        <v>0.00557</v>
      </c>
      <c r="K160" s="32">
        <f>G160*J160</f>
        <v>0.01114</v>
      </c>
      <c r="Z160" s="30">
        <f>IF(AQ160="5",BJ160,0)</f>
        <v>0</v>
      </c>
      <c r="AB160" s="30">
        <f>IF(AQ160="1",BH160,0)</f>
        <v>0</v>
      </c>
      <c r="AC160" s="30">
        <f>IF(AQ160="1",BI160,0)</f>
        <v>0</v>
      </c>
      <c r="AD160" s="30">
        <f>IF(AQ160="7",BH160,0)</f>
        <v>0</v>
      </c>
      <c r="AE160" s="30">
        <f>IF(AQ160="7",BI160,0)</f>
        <v>0</v>
      </c>
      <c r="AF160" s="30">
        <f>IF(AQ160="2",BH160,0)</f>
        <v>0</v>
      </c>
      <c r="AG160" s="30">
        <f>IF(AQ160="2",BI160,0)</f>
        <v>0</v>
      </c>
      <c r="AH160" s="30">
        <f>IF(AQ160="0",BJ160,0)</f>
        <v>0</v>
      </c>
      <c r="AI160" s="10" t="s">
        <v>395</v>
      </c>
      <c r="AJ160" s="30">
        <f>IF(AN160=0,I160,0)</f>
        <v>0</v>
      </c>
      <c r="AK160" s="30">
        <f>IF(AN160=12,I160,0)</f>
        <v>0</v>
      </c>
      <c r="AL160" s="30">
        <f>IF(AN160=21,I160,0)</f>
        <v>0</v>
      </c>
      <c r="AN160" s="30">
        <v>21</v>
      </c>
      <c r="AO160" s="30">
        <f>H160*1</f>
        <v>0</v>
      </c>
      <c r="AP160" s="30">
        <f>H160*(1-1)</f>
        <v>0</v>
      </c>
      <c r="AQ160" s="33" t="s">
        <v>53</v>
      </c>
      <c r="AV160" s="30">
        <f>AW160+AX160</f>
        <v>0</v>
      </c>
      <c r="AW160" s="30">
        <f>G160*AO160</f>
        <v>0</v>
      </c>
      <c r="AX160" s="30">
        <f>G160*AP160</f>
        <v>0</v>
      </c>
      <c r="AY160" s="33" t="s">
        <v>210</v>
      </c>
      <c r="AZ160" s="33" t="s">
        <v>432</v>
      </c>
      <c r="BA160" s="10" t="s">
        <v>401</v>
      </c>
      <c r="BC160" s="30">
        <f>AW160+AX160</f>
        <v>0</v>
      </c>
      <c r="BD160" s="30">
        <f>H160/(100-BE160)*100</f>
        <v>0</v>
      </c>
      <c r="BE160" s="30">
        <v>0</v>
      </c>
      <c r="BF160" s="30">
        <f>K160</f>
        <v>0.01114</v>
      </c>
      <c r="BH160" s="30">
        <f>G160*AO160</f>
        <v>0</v>
      </c>
      <c r="BI160" s="30">
        <f>G160*AP160</f>
        <v>0</v>
      </c>
      <c r="BJ160" s="30">
        <f>G160*H160</f>
        <v>0</v>
      </c>
      <c r="BK160" s="30"/>
      <c r="BL160" s="30">
        <v>33</v>
      </c>
      <c r="BW160" s="30">
        <v>21</v>
      </c>
      <c r="BX160" s="4" t="s">
        <v>438</v>
      </c>
    </row>
    <row r="161" spans="1:76" ht="15">
      <c r="A161" s="2" t="s">
        <v>439</v>
      </c>
      <c r="B161" s="3" t="s">
        <v>395</v>
      </c>
      <c r="C161" s="3" t="s">
        <v>440</v>
      </c>
      <c r="D161" s="116" t="s">
        <v>441</v>
      </c>
      <c r="E161" s="111"/>
      <c r="F161" s="3" t="s">
        <v>135</v>
      </c>
      <c r="G161" s="30">
        <v>34</v>
      </c>
      <c r="H161" s="31">
        <v>0</v>
      </c>
      <c r="I161" s="30">
        <f>G161*H161</f>
        <v>0</v>
      </c>
      <c r="J161" s="30">
        <v>0.00557</v>
      </c>
      <c r="K161" s="32">
        <f>G161*J161</f>
        <v>0.18938000000000002</v>
      </c>
      <c r="Z161" s="30">
        <f>IF(AQ161="5",BJ161,0)</f>
        <v>0</v>
      </c>
      <c r="AB161" s="30">
        <f>IF(AQ161="1",BH161,0)</f>
        <v>0</v>
      </c>
      <c r="AC161" s="30">
        <f>IF(AQ161="1",BI161,0)</f>
        <v>0</v>
      </c>
      <c r="AD161" s="30">
        <f>IF(AQ161="7",BH161,0)</f>
        <v>0</v>
      </c>
      <c r="AE161" s="30">
        <f>IF(AQ161="7",BI161,0)</f>
        <v>0</v>
      </c>
      <c r="AF161" s="30">
        <f>IF(AQ161="2",BH161,0)</f>
        <v>0</v>
      </c>
      <c r="AG161" s="30">
        <f>IF(AQ161="2",BI161,0)</f>
        <v>0</v>
      </c>
      <c r="AH161" s="30">
        <f>IF(AQ161="0",BJ161,0)</f>
        <v>0</v>
      </c>
      <c r="AI161" s="10" t="s">
        <v>395</v>
      </c>
      <c r="AJ161" s="30">
        <f>IF(AN161=0,I161,0)</f>
        <v>0</v>
      </c>
      <c r="AK161" s="30">
        <f>IF(AN161=12,I161,0)</f>
        <v>0</v>
      </c>
      <c r="AL161" s="30">
        <f>IF(AN161=21,I161,0)</f>
        <v>0</v>
      </c>
      <c r="AN161" s="30">
        <v>21</v>
      </c>
      <c r="AO161" s="30">
        <f>H161*1</f>
        <v>0</v>
      </c>
      <c r="AP161" s="30">
        <f>H161*(1-1)</f>
        <v>0</v>
      </c>
      <c r="AQ161" s="33" t="s">
        <v>53</v>
      </c>
      <c r="AV161" s="30">
        <f>AW161+AX161</f>
        <v>0</v>
      </c>
      <c r="AW161" s="30">
        <f>G161*AO161</f>
        <v>0</v>
      </c>
      <c r="AX161" s="30">
        <f>G161*AP161</f>
        <v>0</v>
      </c>
      <c r="AY161" s="33" t="s">
        <v>210</v>
      </c>
      <c r="AZ161" s="33" t="s">
        <v>432</v>
      </c>
      <c r="BA161" s="10" t="s">
        <v>401</v>
      </c>
      <c r="BC161" s="30">
        <f>AW161+AX161</f>
        <v>0</v>
      </c>
      <c r="BD161" s="30">
        <f>H161/(100-BE161)*100</f>
        <v>0</v>
      </c>
      <c r="BE161" s="30">
        <v>0</v>
      </c>
      <c r="BF161" s="30">
        <f>K161</f>
        <v>0.18938000000000002</v>
      </c>
      <c r="BH161" s="30">
        <f>G161*AO161</f>
        <v>0</v>
      </c>
      <c r="BI161" s="30">
        <f>G161*AP161</f>
        <v>0</v>
      </c>
      <c r="BJ161" s="30">
        <f>G161*H161</f>
        <v>0</v>
      </c>
      <c r="BK161" s="30"/>
      <c r="BL161" s="30">
        <v>33</v>
      </c>
      <c r="BW161" s="30">
        <v>21</v>
      </c>
      <c r="BX161" s="4" t="s">
        <v>441</v>
      </c>
    </row>
    <row r="162" spans="1:76" ht="15">
      <c r="A162" s="2" t="s">
        <v>442</v>
      </c>
      <c r="B162" s="3" t="s">
        <v>395</v>
      </c>
      <c r="C162" s="3" t="s">
        <v>443</v>
      </c>
      <c r="D162" s="116" t="s">
        <v>444</v>
      </c>
      <c r="E162" s="111"/>
      <c r="F162" s="3" t="s">
        <v>135</v>
      </c>
      <c r="G162" s="30">
        <v>34</v>
      </c>
      <c r="H162" s="31">
        <v>0</v>
      </c>
      <c r="I162" s="30">
        <f>G162*H162</f>
        <v>0</v>
      </c>
      <c r="J162" s="30">
        <v>0.007</v>
      </c>
      <c r="K162" s="32">
        <f>G162*J162</f>
        <v>0.23800000000000002</v>
      </c>
      <c r="Z162" s="30">
        <f>IF(AQ162="5",BJ162,0)</f>
        <v>0</v>
      </c>
      <c r="AB162" s="30">
        <f>IF(AQ162="1",BH162,0)</f>
        <v>0</v>
      </c>
      <c r="AC162" s="30">
        <f>IF(AQ162="1",BI162,0)</f>
        <v>0</v>
      </c>
      <c r="AD162" s="30">
        <f>IF(AQ162="7",BH162,0)</f>
        <v>0</v>
      </c>
      <c r="AE162" s="30">
        <f>IF(AQ162="7",BI162,0)</f>
        <v>0</v>
      </c>
      <c r="AF162" s="30">
        <f>IF(AQ162="2",BH162,0)</f>
        <v>0</v>
      </c>
      <c r="AG162" s="30">
        <f>IF(AQ162="2",BI162,0)</f>
        <v>0</v>
      </c>
      <c r="AH162" s="30">
        <f>IF(AQ162="0",BJ162,0)</f>
        <v>0</v>
      </c>
      <c r="AI162" s="10" t="s">
        <v>395</v>
      </c>
      <c r="AJ162" s="30">
        <f>IF(AN162=0,I162,0)</f>
        <v>0</v>
      </c>
      <c r="AK162" s="30">
        <f>IF(AN162=12,I162,0)</f>
        <v>0</v>
      </c>
      <c r="AL162" s="30">
        <f>IF(AN162=21,I162,0)</f>
        <v>0</v>
      </c>
      <c r="AN162" s="30">
        <v>21</v>
      </c>
      <c r="AO162" s="30">
        <f>H162*1</f>
        <v>0</v>
      </c>
      <c r="AP162" s="30">
        <f>H162*(1-1)</f>
        <v>0</v>
      </c>
      <c r="AQ162" s="33" t="s">
        <v>53</v>
      </c>
      <c r="AV162" s="30">
        <f>AW162+AX162</f>
        <v>0</v>
      </c>
      <c r="AW162" s="30">
        <f>G162*AO162</f>
        <v>0</v>
      </c>
      <c r="AX162" s="30">
        <f>G162*AP162</f>
        <v>0</v>
      </c>
      <c r="AY162" s="33" t="s">
        <v>210</v>
      </c>
      <c r="AZ162" s="33" t="s">
        <v>432</v>
      </c>
      <c r="BA162" s="10" t="s">
        <v>401</v>
      </c>
      <c r="BC162" s="30">
        <f>AW162+AX162</f>
        <v>0</v>
      </c>
      <c r="BD162" s="30">
        <f>H162/(100-BE162)*100</f>
        <v>0</v>
      </c>
      <c r="BE162" s="30">
        <v>0</v>
      </c>
      <c r="BF162" s="30">
        <f>K162</f>
        <v>0.23800000000000002</v>
      </c>
      <c r="BH162" s="30">
        <f>G162*AO162</f>
        <v>0</v>
      </c>
      <c r="BI162" s="30">
        <f>G162*AP162</f>
        <v>0</v>
      </c>
      <c r="BJ162" s="30">
        <f>G162*H162</f>
        <v>0</v>
      </c>
      <c r="BK162" s="30"/>
      <c r="BL162" s="30">
        <v>33</v>
      </c>
      <c r="BW162" s="30">
        <v>21</v>
      </c>
      <c r="BX162" s="4" t="s">
        <v>444</v>
      </c>
    </row>
    <row r="163" spans="1:47" ht="15">
      <c r="A163" s="25" t="s">
        <v>48</v>
      </c>
      <c r="B163" s="26" t="s">
        <v>395</v>
      </c>
      <c r="C163" s="26" t="s">
        <v>212</v>
      </c>
      <c r="D163" s="135" t="s">
        <v>213</v>
      </c>
      <c r="E163" s="136"/>
      <c r="F163" s="27" t="s">
        <v>4</v>
      </c>
      <c r="G163" s="27" t="s">
        <v>4</v>
      </c>
      <c r="H163" s="28" t="s">
        <v>4</v>
      </c>
      <c r="I163" s="1">
        <f>SUM(I164:I164)</f>
        <v>0</v>
      </c>
      <c r="J163" s="10" t="s">
        <v>48</v>
      </c>
      <c r="K163" s="29">
        <f>SUM(K164:K164)</f>
        <v>176.4</v>
      </c>
      <c r="AI163" s="10" t="s">
        <v>395</v>
      </c>
      <c r="AS163" s="1">
        <f>SUM(AJ164:AJ164)</f>
        <v>0</v>
      </c>
      <c r="AT163" s="1">
        <f>SUM(AK164:AK164)</f>
        <v>0</v>
      </c>
      <c r="AU163" s="1">
        <f>SUM(AL164:AL164)</f>
        <v>0</v>
      </c>
    </row>
    <row r="164" spans="1:76" ht="15">
      <c r="A164" s="2" t="s">
        <v>445</v>
      </c>
      <c r="B164" s="3" t="s">
        <v>395</v>
      </c>
      <c r="C164" s="3" t="s">
        <v>446</v>
      </c>
      <c r="D164" s="116" t="s">
        <v>447</v>
      </c>
      <c r="E164" s="111"/>
      <c r="F164" s="3" t="s">
        <v>56</v>
      </c>
      <c r="G164" s="30">
        <v>400</v>
      </c>
      <c r="H164" s="31">
        <v>0</v>
      </c>
      <c r="I164" s="30">
        <f>G164*H164</f>
        <v>0</v>
      </c>
      <c r="J164" s="30">
        <v>0.441</v>
      </c>
      <c r="K164" s="32">
        <f>G164*J164</f>
        <v>176.4</v>
      </c>
      <c r="Z164" s="30">
        <f>IF(AQ164="5",BJ164,0)</f>
        <v>0</v>
      </c>
      <c r="AB164" s="30">
        <f>IF(AQ164="1",BH164,0)</f>
        <v>0</v>
      </c>
      <c r="AC164" s="30">
        <f>IF(AQ164="1",BI164,0)</f>
        <v>0</v>
      </c>
      <c r="AD164" s="30">
        <f>IF(AQ164="7",BH164,0)</f>
        <v>0</v>
      </c>
      <c r="AE164" s="30">
        <f>IF(AQ164="7",BI164,0)</f>
        <v>0</v>
      </c>
      <c r="AF164" s="30">
        <f>IF(AQ164="2",BH164,0)</f>
        <v>0</v>
      </c>
      <c r="AG164" s="30">
        <f>IF(AQ164="2",BI164,0)</f>
        <v>0</v>
      </c>
      <c r="AH164" s="30">
        <f>IF(AQ164="0",BJ164,0)</f>
        <v>0</v>
      </c>
      <c r="AI164" s="10" t="s">
        <v>395</v>
      </c>
      <c r="AJ164" s="30">
        <f>IF(AN164=0,I164,0)</f>
        <v>0</v>
      </c>
      <c r="AK164" s="30">
        <f>IF(AN164=12,I164,0)</f>
        <v>0</v>
      </c>
      <c r="AL164" s="30">
        <f>IF(AN164=21,I164,0)</f>
        <v>0</v>
      </c>
      <c r="AN164" s="30">
        <v>21</v>
      </c>
      <c r="AO164" s="30">
        <f>H164*0.854845361</f>
        <v>0</v>
      </c>
      <c r="AP164" s="30">
        <f>H164*(1-0.854845361)</f>
        <v>0</v>
      </c>
      <c r="AQ164" s="33" t="s">
        <v>53</v>
      </c>
      <c r="AV164" s="30">
        <f>AW164+AX164</f>
        <v>0</v>
      </c>
      <c r="AW164" s="30">
        <f>G164*AO164</f>
        <v>0</v>
      </c>
      <c r="AX164" s="30">
        <f>G164*AP164</f>
        <v>0</v>
      </c>
      <c r="AY164" s="33" t="s">
        <v>217</v>
      </c>
      <c r="AZ164" s="33" t="s">
        <v>448</v>
      </c>
      <c r="BA164" s="10" t="s">
        <v>401</v>
      </c>
      <c r="BC164" s="30">
        <f>AW164+AX164</f>
        <v>0</v>
      </c>
      <c r="BD164" s="30">
        <f>H164/(100-BE164)*100</f>
        <v>0</v>
      </c>
      <c r="BE164" s="30">
        <v>0</v>
      </c>
      <c r="BF164" s="30">
        <f>K164</f>
        <v>176.4</v>
      </c>
      <c r="BH164" s="30">
        <f>G164*AO164</f>
        <v>0</v>
      </c>
      <c r="BI164" s="30">
        <f>G164*AP164</f>
        <v>0</v>
      </c>
      <c r="BJ164" s="30">
        <f>G164*H164</f>
        <v>0</v>
      </c>
      <c r="BK164" s="30"/>
      <c r="BL164" s="30">
        <v>56</v>
      </c>
      <c r="BW164" s="30">
        <v>21</v>
      </c>
      <c r="BX164" s="4" t="s">
        <v>447</v>
      </c>
    </row>
    <row r="165" spans="1:11" ht="13.5" customHeight="1">
      <c r="A165" s="34"/>
      <c r="C165" s="35" t="s">
        <v>254</v>
      </c>
      <c r="D165" s="137" t="s">
        <v>449</v>
      </c>
      <c r="E165" s="138"/>
      <c r="F165" s="138"/>
      <c r="G165" s="138"/>
      <c r="H165" s="139"/>
      <c r="I165" s="138"/>
      <c r="J165" s="138"/>
      <c r="K165" s="140"/>
    </row>
    <row r="166" spans="1:47" ht="15">
      <c r="A166" s="25" t="s">
        <v>48</v>
      </c>
      <c r="B166" s="26" t="s">
        <v>395</v>
      </c>
      <c r="C166" s="26" t="s">
        <v>274</v>
      </c>
      <c r="D166" s="135" t="s">
        <v>275</v>
      </c>
      <c r="E166" s="136"/>
      <c r="F166" s="27" t="s">
        <v>4</v>
      </c>
      <c r="G166" s="27" t="s">
        <v>4</v>
      </c>
      <c r="H166" s="28" t="s">
        <v>4</v>
      </c>
      <c r="I166" s="1">
        <f>SUM(I167:I178)</f>
        <v>0</v>
      </c>
      <c r="J166" s="10" t="s">
        <v>48</v>
      </c>
      <c r="K166" s="29">
        <f>SUM(K167:K178)</f>
        <v>4.1833800000000005</v>
      </c>
      <c r="AI166" s="10" t="s">
        <v>395</v>
      </c>
      <c r="AS166" s="1">
        <f>SUM(AJ167:AJ178)</f>
        <v>0</v>
      </c>
      <c r="AT166" s="1">
        <f>SUM(AK167:AK178)</f>
        <v>0</v>
      </c>
      <c r="AU166" s="1">
        <f>SUM(AL167:AL178)</f>
        <v>0</v>
      </c>
    </row>
    <row r="167" spans="1:76" ht="15">
      <c r="A167" s="2" t="s">
        <v>450</v>
      </c>
      <c r="B167" s="3" t="s">
        <v>395</v>
      </c>
      <c r="C167" s="3" t="s">
        <v>277</v>
      </c>
      <c r="D167" s="116" t="s">
        <v>278</v>
      </c>
      <c r="E167" s="111"/>
      <c r="F167" s="3" t="s">
        <v>131</v>
      </c>
      <c r="G167" s="30">
        <v>100</v>
      </c>
      <c r="H167" s="31">
        <v>0</v>
      </c>
      <c r="I167" s="30">
        <f>G167*H167</f>
        <v>0</v>
      </c>
      <c r="J167" s="30">
        <v>0.00106</v>
      </c>
      <c r="K167" s="32">
        <f>G167*J167</f>
        <v>0.106</v>
      </c>
      <c r="Z167" s="30">
        <f>IF(AQ167="5",BJ167,0)</f>
        <v>0</v>
      </c>
      <c r="AB167" s="30">
        <f>IF(AQ167="1",BH167,0)</f>
        <v>0</v>
      </c>
      <c r="AC167" s="30">
        <f>IF(AQ167="1",BI167,0)</f>
        <v>0</v>
      </c>
      <c r="AD167" s="30">
        <f>IF(AQ167="7",BH167,0)</f>
        <v>0</v>
      </c>
      <c r="AE167" s="30">
        <f>IF(AQ167="7",BI167,0)</f>
        <v>0</v>
      </c>
      <c r="AF167" s="30">
        <f>IF(AQ167="2",BH167,0)</f>
        <v>0</v>
      </c>
      <c r="AG167" s="30">
        <f>IF(AQ167="2",BI167,0)</f>
        <v>0</v>
      </c>
      <c r="AH167" s="30">
        <f>IF(AQ167="0",BJ167,0)</f>
        <v>0</v>
      </c>
      <c r="AI167" s="10" t="s">
        <v>395</v>
      </c>
      <c r="AJ167" s="30">
        <f>IF(AN167=0,I167,0)</f>
        <v>0</v>
      </c>
      <c r="AK167" s="30">
        <f>IF(AN167=12,I167,0)</f>
        <v>0</v>
      </c>
      <c r="AL167" s="30">
        <f>IF(AN167=21,I167,0)</f>
        <v>0</v>
      </c>
      <c r="AN167" s="30">
        <v>21</v>
      </c>
      <c r="AO167" s="30">
        <f>H167*0.349254427</f>
        <v>0</v>
      </c>
      <c r="AP167" s="30">
        <f>H167*(1-0.349254427)</f>
        <v>0</v>
      </c>
      <c r="AQ167" s="33" t="s">
        <v>80</v>
      </c>
      <c r="AV167" s="30">
        <f>AW167+AX167</f>
        <v>0</v>
      </c>
      <c r="AW167" s="30">
        <f>G167*AO167</f>
        <v>0</v>
      </c>
      <c r="AX167" s="30">
        <f>G167*AP167</f>
        <v>0</v>
      </c>
      <c r="AY167" s="33" t="s">
        <v>279</v>
      </c>
      <c r="AZ167" s="33" t="s">
        <v>451</v>
      </c>
      <c r="BA167" s="10" t="s">
        <v>401</v>
      </c>
      <c r="BC167" s="30">
        <f>AW167+AX167</f>
        <v>0</v>
      </c>
      <c r="BD167" s="30">
        <f>H167/(100-BE167)*100</f>
        <v>0</v>
      </c>
      <c r="BE167" s="30">
        <v>0</v>
      </c>
      <c r="BF167" s="30">
        <f>K167</f>
        <v>0.106</v>
      </c>
      <c r="BH167" s="30">
        <f>G167*AO167</f>
        <v>0</v>
      </c>
      <c r="BI167" s="30">
        <f>G167*AP167</f>
        <v>0</v>
      </c>
      <c r="BJ167" s="30">
        <f>G167*H167</f>
        <v>0</v>
      </c>
      <c r="BK167" s="30"/>
      <c r="BL167" s="30">
        <v>767</v>
      </c>
      <c r="BW167" s="30">
        <v>21</v>
      </c>
      <c r="BX167" s="4" t="s">
        <v>278</v>
      </c>
    </row>
    <row r="168" spans="1:11" ht="13.5" customHeight="1">
      <c r="A168" s="34"/>
      <c r="C168" s="35" t="s">
        <v>254</v>
      </c>
      <c r="D168" s="137" t="s">
        <v>281</v>
      </c>
      <c r="E168" s="138"/>
      <c r="F168" s="138"/>
      <c r="G168" s="138"/>
      <c r="H168" s="139"/>
      <c r="I168" s="138"/>
      <c r="J168" s="138"/>
      <c r="K168" s="140"/>
    </row>
    <row r="169" spans="1:76" ht="15">
      <c r="A169" s="2" t="s">
        <v>452</v>
      </c>
      <c r="B169" s="3" t="s">
        <v>395</v>
      </c>
      <c r="C169" s="3" t="s">
        <v>453</v>
      </c>
      <c r="D169" s="116" t="s">
        <v>454</v>
      </c>
      <c r="E169" s="111"/>
      <c r="F169" s="3" t="s">
        <v>135</v>
      </c>
      <c r="G169" s="30">
        <v>1</v>
      </c>
      <c r="H169" s="31">
        <v>0</v>
      </c>
      <c r="I169" s="30">
        <f>G169*H169</f>
        <v>0</v>
      </c>
      <c r="J169" s="30">
        <v>0</v>
      </c>
      <c r="K169" s="32">
        <f>G169*J169</f>
        <v>0</v>
      </c>
      <c r="Z169" s="30">
        <f>IF(AQ169="5",BJ169,0)</f>
        <v>0</v>
      </c>
      <c r="AB169" s="30">
        <f>IF(AQ169="1",BH169,0)</f>
        <v>0</v>
      </c>
      <c r="AC169" s="30">
        <f>IF(AQ169="1",BI169,0)</f>
        <v>0</v>
      </c>
      <c r="AD169" s="30">
        <f>IF(AQ169="7",BH169,0)</f>
        <v>0</v>
      </c>
      <c r="AE169" s="30">
        <f>IF(AQ169="7",BI169,0)</f>
        <v>0</v>
      </c>
      <c r="AF169" s="30">
        <f>IF(AQ169="2",BH169,0)</f>
        <v>0</v>
      </c>
      <c r="AG169" s="30">
        <f>IF(AQ169="2",BI169,0)</f>
        <v>0</v>
      </c>
      <c r="AH169" s="30">
        <f>IF(AQ169="0",BJ169,0)</f>
        <v>0</v>
      </c>
      <c r="AI169" s="10" t="s">
        <v>395</v>
      </c>
      <c r="AJ169" s="30">
        <f>IF(AN169=0,I169,0)</f>
        <v>0</v>
      </c>
      <c r="AK169" s="30">
        <f>IF(AN169=12,I169,0)</f>
        <v>0</v>
      </c>
      <c r="AL169" s="30">
        <f>IF(AN169=21,I169,0)</f>
        <v>0</v>
      </c>
      <c r="AN169" s="30">
        <v>21</v>
      </c>
      <c r="AO169" s="30">
        <f>H169*0</f>
        <v>0</v>
      </c>
      <c r="AP169" s="30">
        <f>H169*(1-0)</f>
        <v>0</v>
      </c>
      <c r="AQ169" s="33" t="s">
        <v>80</v>
      </c>
      <c r="AV169" s="30">
        <f>AW169+AX169</f>
        <v>0</v>
      </c>
      <c r="AW169" s="30">
        <f>G169*AO169</f>
        <v>0</v>
      </c>
      <c r="AX169" s="30">
        <f>G169*AP169</f>
        <v>0</v>
      </c>
      <c r="AY169" s="33" t="s">
        <v>279</v>
      </c>
      <c r="AZ169" s="33" t="s">
        <v>451</v>
      </c>
      <c r="BA169" s="10" t="s">
        <v>401</v>
      </c>
      <c r="BC169" s="30">
        <f>AW169+AX169</f>
        <v>0</v>
      </c>
      <c r="BD169" s="30">
        <f>H169/(100-BE169)*100</f>
        <v>0</v>
      </c>
      <c r="BE169" s="30">
        <v>0</v>
      </c>
      <c r="BF169" s="30">
        <f>K169</f>
        <v>0</v>
      </c>
      <c r="BH169" s="30">
        <f>G169*AO169</f>
        <v>0</v>
      </c>
      <c r="BI169" s="30">
        <f>G169*AP169</f>
        <v>0</v>
      </c>
      <c r="BJ169" s="30">
        <f>G169*H169</f>
        <v>0</v>
      </c>
      <c r="BK169" s="30"/>
      <c r="BL169" s="30">
        <v>767</v>
      </c>
      <c r="BW169" s="30">
        <v>21</v>
      </c>
      <c r="BX169" s="4" t="s">
        <v>454</v>
      </c>
    </row>
    <row r="170" spans="1:76" ht="15">
      <c r="A170" s="2" t="s">
        <v>455</v>
      </c>
      <c r="B170" s="3" t="s">
        <v>395</v>
      </c>
      <c r="C170" s="3" t="s">
        <v>456</v>
      </c>
      <c r="D170" s="116" t="s">
        <v>457</v>
      </c>
      <c r="E170" s="111"/>
      <c r="F170" s="3" t="s">
        <v>69</v>
      </c>
      <c r="G170" s="30">
        <v>90</v>
      </c>
      <c r="H170" s="31">
        <v>0</v>
      </c>
      <c r="I170" s="30">
        <f>G170*H170</f>
        <v>0</v>
      </c>
      <c r="J170" s="30">
        <v>0</v>
      </c>
      <c r="K170" s="32">
        <f>G170*J170</f>
        <v>0</v>
      </c>
      <c r="Z170" s="30">
        <f>IF(AQ170="5",BJ170,0)</f>
        <v>0</v>
      </c>
      <c r="AB170" s="30">
        <f>IF(AQ170="1",BH170,0)</f>
        <v>0</v>
      </c>
      <c r="AC170" s="30">
        <f>IF(AQ170="1",BI170,0)</f>
        <v>0</v>
      </c>
      <c r="AD170" s="30">
        <f>IF(AQ170="7",BH170,0)</f>
        <v>0</v>
      </c>
      <c r="AE170" s="30">
        <f>IF(AQ170="7",BI170,0)</f>
        <v>0</v>
      </c>
      <c r="AF170" s="30">
        <f>IF(AQ170="2",BH170,0)</f>
        <v>0</v>
      </c>
      <c r="AG170" s="30">
        <f>IF(AQ170="2",BI170,0)</f>
        <v>0</v>
      </c>
      <c r="AH170" s="30">
        <f>IF(AQ170="0",BJ170,0)</f>
        <v>0</v>
      </c>
      <c r="AI170" s="10" t="s">
        <v>395</v>
      </c>
      <c r="AJ170" s="30">
        <f>IF(AN170=0,I170,0)</f>
        <v>0</v>
      </c>
      <c r="AK170" s="30">
        <f>IF(AN170=12,I170,0)</f>
        <v>0</v>
      </c>
      <c r="AL170" s="30">
        <f>IF(AN170=21,I170,0)</f>
        <v>0</v>
      </c>
      <c r="AN170" s="30">
        <v>21</v>
      </c>
      <c r="AO170" s="30">
        <f>H170*0</f>
        <v>0</v>
      </c>
      <c r="AP170" s="30">
        <f>H170*(1-0)</f>
        <v>0</v>
      </c>
      <c r="AQ170" s="33" t="s">
        <v>80</v>
      </c>
      <c r="AV170" s="30">
        <f>AW170+AX170</f>
        <v>0</v>
      </c>
      <c r="AW170" s="30">
        <f>G170*AO170</f>
        <v>0</v>
      </c>
      <c r="AX170" s="30">
        <f>G170*AP170</f>
        <v>0</v>
      </c>
      <c r="AY170" s="33" t="s">
        <v>279</v>
      </c>
      <c r="AZ170" s="33" t="s">
        <v>451</v>
      </c>
      <c r="BA170" s="10" t="s">
        <v>401</v>
      </c>
      <c r="BC170" s="30">
        <f>AW170+AX170</f>
        <v>0</v>
      </c>
      <c r="BD170" s="30">
        <f>H170/(100-BE170)*100</f>
        <v>0</v>
      </c>
      <c r="BE170" s="30">
        <v>0</v>
      </c>
      <c r="BF170" s="30">
        <f>K170</f>
        <v>0</v>
      </c>
      <c r="BH170" s="30">
        <f>G170*AO170</f>
        <v>0</v>
      </c>
      <c r="BI170" s="30">
        <f>G170*AP170</f>
        <v>0</v>
      </c>
      <c r="BJ170" s="30">
        <f>G170*H170</f>
        <v>0</v>
      </c>
      <c r="BK170" s="30"/>
      <c r="BL170" s="30">
        <v>767</v>
      </c>
      <c r="BW170" s="30">
        <v>21</v>
      </c>
      <c r="BX170" s="4" t="s">
        <v>457</v>
      </c>
    </row>
    <row r="171" spans="1:76" ht="15">
      <c r="A171" s="2" t="s">
        <v>458</v>
      </c>
      <c r="B171" s="3" t="s">
        <v>395</v>
      </c>
      <c r="C171" s="3" t="s">
        <v>459</v>
      </c>
      <c r="D171" s="116" t="s">
        <v>460</v>
      </c>
      <c r="E171" s="111"/>
      <c r="F171" s="3" t="s">
        <v>135</v>
      </c>
      <c r="G171" s="30">
        <v>1</v>
      </c>
      <c r="H171" s="31">
        <v>0</v>
      </c>
      <c r="I171" s="30">
        <f>G171*H171</f>
        <v>0</v>
      </c>
      <c r="J171" s="30">
        <v>0.001</v>
      </c>
      <c r="K171" s="32">
        <f>G171*J171</f>
        <v>0.001</v>
      </c>
      <c r="Z171" s="30">
        <f>IF(AQ171="5",BJ171,0)</f>
        <v>0</v>
      </c>
      <c r="AB171" s="30">
        <f>IF(AQ171="1",BH171,0)</f>
        <v>0</v>
      </c>
      <c r="AC171" s="30">
        <f>IF(AQ171="1",BI171,0)</f>
        <v>0</v>
      </c>
      <c r="AD171" s="30">
        <f>IF(AQ171="7",BH171,0)</f>
        <v>0</v>
      </c>
      <c r="AE171" s="30">
        <f>IF(AQ171="7",BI171,0)</f>
        <v>0</v>
      </c>
      <c r="AF171" s="30">
        <f>IF(AQ171="2",BH171,0)</f>
        <v>0</v>
      </c>
      <c r="AG171" s="30">
        <f>IF(AQ171="2",BI171,0)</f>
        <v>0</v>
      </c>
      <c r="AH171" s="30">
        <f>IF(AQ171="0",BJ171,0)</f>
        <v>0</v>
      </c>
      <c r="AI171" s="10" t="s">
        <v>395</v>
      </c>
      <c r="AJ171" s="30">
        <f>IF(AN171=0,I171,0)</f>
        <v>0</v>
      </c>
      <c r="AK171" s="30">
        <f>IF(AN171=12,I171,0)</f>
        <v>0</v>
      </c>
      <c r="AL171" s="30">
        <f>IF(AN171=21,I171,0)</f>
        <v>0</v>
      </c>
      <c r="AN171" s="30">
        <v>21</v>
      </c>
      <c r="AO171" s="30">
        <f>H171*1</f>
        <v>0</v>
      </c>
      <c r="AP171" s="30">
        <f>H171*(1-1)</f>
        <v>0</v>
      </c>
      <c r="AQ171" s="33" t="s">
        <v>80</v>
      </c>
      <c r="AV171" s="30">
        <f>AW171+AX171</f>
        <v>0</v>
      </c>
      <c r="AW171" s="30">
        <f>G171*AO171</f>
        <v>0</v>
      </c>
      <c r="AX171" s="30">
        <f>G171*AP171</f>
        <v>0</v>
      </c>
      <c r="AY171" s="33" t="s">
        <v>279</v>
      </c>
      <c r="AZ171" s="33" t="s">
        <v>451</v>
      </c>
      <c r="BA171" s="10" t="s">
        <v>401</v>
      </c>
      <c r="BC171" s="30">
        <f>AW171+AX171</f>
        <v>0</v>
      </c>
      <c r="BD171" s="30">
        <f>H171/(100-BE171)*100</f>
        <v>0</v>
      </c>
      <c r="BE171" s="30">
        <v>0</v>
      </c>
      <c r="BF171" s="30">
        <f>K171</f>
        <v>0.001</v>
      </c>
      <c r="BH171" s="30">
        <f>G171*AO171</f>
        <v>0</v>
      </c>
      <c r="BI171" s="30">
        <f>G171*AP171</f>
        <v>0</v>
      </c>
      <c r="BJ171" s="30">
        <f>G171*H171</f>
        <v>0</v>
      </c>
      <c r="BK171" s="30"/>
      <c r="BL171" s="30">
        <v>767</v>
      </c>
      <c r="BW171" s="30">
        <v>21</v>
      </c>
      <c r="BX171" s="4" t="s">
        <v>460</v>
      </c>
    </row>
    <row r="172" spans="1:11" ht="121.5" customHeight="1">
      <c r="A172" s="34"/>
      <c r="C172" s="35" t="s">
        <v>231</v>
      </c>
      <c r="D172" s="137" t="s">
        <v>461</v>
      </c>
      <c r="E172" s="138"/>
      <c r="F172" s="138"/>
      <c r="G172" s="138"/>
      <c r="H172" s="139"/>
      <c r="I172" s="138"/>
      <c r="J172" s="138"/>
      <c r="K172" s="140"/>
    </row>
    <row r="173" spans="1:76" ht="15">
      <c r="A173" s="2" t="s">
        <v>462</v>
      </c>
      <c r="B173" s="3" t="s">
        <v>395</v>
      </c>
      <c r="C173" s="3" t="s">
        <v>463</v>
      </c>
      <c r="D173" s="116" t="s">
        <v>464</v>
      </c>
      <c r="E173" s="111"/>
      <c r="F173" s="3" t="s">
        <v>135</v>
      </c>
      <c r="G173" s="30">
        <v>34</v>
      </c>
      <c r="H173" s="31">
        <v>0</v>
      </c>
      <c r="I173" s="30">
        <f>G173*H173</f>
        <v>0</v>
      </c>
      <c r="J173" s="30">
        <v>0.00557</v>
      </c>
      <c r="K173" s="32">
        <f>G173*J173</f>
        <v>0.18938000000000002</v>
      </c>
      <c r="Z173" s="30">
        <f>IF(AQ173="5",BJ173,0)</f>
        <v>0</v>
      </c>
      <c r="AB173" s="30">
        <f>IF(AQ173="1",BH173,0)</f>
        <v>0</v>
      </c>
      <c r="AC173" s="30">
        <f>IF(AQ173="1",BI173,0)</f>
        <v>0</v>
      </c>
      <c r="AD173" s="30">
        <f>IF(AQ173="7",BH173,0)</f>
        <v>0</v>
      </c>
      <c r="AE173" s="30">
        <f>IF(AQ173="7",BI173,0)</f>
        <v>0</v>
      </c>
      <c r="AF173" s="30">
        <f>IF(AQ173="2",BH173,0)</f>
        <v>0</v>
      </c>
      <c r="AG173" s="30">
        <f>IF(AQ173="2",BI173,0)</f>
        <v>0</v>
      </c>
      <c r="AH173" s="30">
        <f>IF(AQ173="0",BJ173,0)</f>
        <v>0</v>
      </c>
      <c r="AI173" s="10" t="s">
        <v>395</v>
      </c>
      <c r="AJ173" s="30">
        <f>IF(AN173=0,I173,0)</f>
        <v>0</v>
      </c>
      <c r="AK173" s="30">
        <f>IF(AN173=12,I173,0)</f>
        <v>0</v>
      </c>
      <c r="AL173" s="30">
        <f>IF(AN173=21,I173,0)</f>
        <v>0</v>
      </c>
      <c r="AN173" s="30">
        <v>21</v>
      </c>
      <c r="AO173" s="30">
        <f>H173*1</f>
        <v>0</v>
      </c>
      <c r="AP173" s="30">
        <f>H173*(1-1)</f>
        <v>0</v>
      </c>
      <c r="AQ173" s="33" t="s">
        <v>80</v>
      </c>
      <c r="AV173" s="30">
        <f>AW173+AX173</f>
        <v>0</v>
      </c>
      <c r="AW173" s="30">
        <f>G173*AO173</f>
        <v>0</v>
      </c>
      <c r="AX173" s="30">
        <f>G173*AP173</f>
        <v>0</v>
      </c>
      <c r="AY173" s="33" t="s">
        <v>279</v>
      </c>
      <c r="AZ173" s="33" t="s">
        <v>451</v>
      </c>
      <c r="BA173" s="10" t="s">
        <v>401</v>
      </c>
      <c r="BC173" s="30">
        <f>AW173+AX173</f>
        <v>0</v>
      </c>
      <c r="BD173" s="30">
        <f>H173/(100-BE173)*100</f>
        <v>0</v>
      </c>
      <c r="BE173" s="30">
        <v>0</v>
      </c>
      <c r="BF173" s="30">
        <f>K173</f>
        <v>0.18938000000000002</v>
      </c>
      <c r="BH173" s="30">
        <f>G173*AO173</f>
        <v>0</v>
      </c>
      <c r="BI173" s="30">
        <f>G173*AP173</f>
        <v>0</v>
      </c>
      <c r="BJ173" s="30">
        <f>G173*H173</f>
        <v>0</v>
      </c>
      <c r="BK173" s="30"/>
      <c r="BL173" s="30">
        <v>767</v>
      </c>
      <c r="BW173" s="30">
        <v>21</v>
      </c>
      <c r="BX173" s="4" t="s">
        <v>464</v>
      </c>
    </row>
    <row r="174" spans="1:76" ht="15">
      <c r="A174" s="2" t="s">
        <v>465</v>
      </c>
      <c r="B174" s="3" t="s">
        <v>395</v>
      </c>
      <c r="C174" s="3" t="s">
        <v>466</v>
      </c>
      <c r="D174" s="116" t="s">
        <v>467</v>
      </c>
      <c r="E174" s="111"/>
      <c r="F174" s="3" t="s">
        <v>135</v>
      </c>
      <c r="G174" s="30">
        <v>136</v>
      </c>
      <c r="H174" s="31">
        <v>0</v>
      </c>
      <c r="I174" s="30">
        <f>G174*H174</f>
        <v>0</v>
      </c>
      <c r="J174" s="30">
        <v>0.00557</v>
      </c>
      <c r="K174" s="32">
        <f>G174*J174</f>
        <v>0.7575200000000001</v>
      </c>
      <c r="Z174" s="30">
        <f>IF(AQ174="5",BJ174,0)</f>
        <v>0</v>
      </c>
      <c r="AB174" s="30">
        <f>IF(AQ174="1",BH174,0)</f>
        <v>0</v>
      </c>
      <c r="AC174" s="30">
        <f>IF(AQ174="1",BI174,0)</f>
        <v>0</v>
      </c>
      <c r="AD174" s="30">
        <f>IF(AQ174="7",BH174,0)</f>
        <v>0</v>
      </c>
      <c r="AE174" s="30">
        <f>IF(AQ174="7",BI174,0)</f>
        <v>0</v>
      </c>
      <c r="AF174" s="30">
        <f>IF(AQ174="2",BH174,0)</f>
        <v>0</v>
      </c>
      <c r="AG174" s="30">
        <f>IF(AQ174="2",BI174,0)</f>
        <v>0</v>
      </c>
      <c r="AH174" s="30">
        <f>IF(AQ174="0",BJ174,0)</f>
        <v>0</v>
      </c>
      <c r="AI174" s="10" t="s">
        <v>395</v>
      </c>
      <c r="AJ174" s="30">
        <f>IF(AN174=0,I174,0)</f>
        <v>0</v>
      </c>
      <c r="AK174" s="30">
        <f>IF(AN174=12,I174,0)</f>
        <v>0</v>
      </c>
      <c r="AL174" s="30">
        <f>IF(AN174=21,I174,0)</f>
        <v>0</v>
      </c>
      <c r="AN174" s="30">
        <v>21</v>
      </c>
      <c r="AO174" s="30">
        <f>H174*1</f>
        <v>0</v>
      </c>
      <c r="AP174" s="30">
        <f>H174*(1-1)</f>
        <v>0</v>
      </c>
      <c r="AQ174" s="33" t="s">
        <v>80</v>
      </c>
      <c r="AV174" s="30">
        <f>AW174+AX174</f>
        <v>0</v>
      </c>
      <c r="AW174" s="30">
        <f>G174*AO174</f>
        <v>0</v>
      </c>
      <c r="AX174" s="30">
        <f>G174*AP174</f>
        <v>0</v>
      </c>
      <c r="AY174" s="33" t="s">
        <v>279</v>
      </c>
      <c r="AZ174" s="33" t="s">
        <v>451</v>
      </c>
      <c r="BA174" s="10" t="s">
        <v>401</v>
      </c>
      <c r="BC174" s="30">
        <f>AW174+AX174</f>
        <v>0</v>
      </c>
      <c r="BD174" s="30">
        <f>H174/(100-BE174)*100</f>
        <v>0</v>
      </c>
      <c r="BE174" s="30">
        <v>0</v>
      </c>
      <c r="BF174" s="30">
        <f>K174</f>
        <v>0.7575200000000001</v>
      </c>
      <c r="BH174" s="30">
        <f>G174*AO174</f>
        <v>0</v>
      </c>
      <c r="BI174" s="30">
        <f>G174*AP174</f>
        <v>0</v>
      </c>
      <c r="BJ174" s="30">
        <f>G174*H174</f>
        <v>0</v>
      </c>
      <c r="BK174" s="30"/>
      <c r="BL174" s="30">
        <v>767</v>
      </c>
      <c r="BW174" s="30">
        <v>21</v>
      </c>
      <c r="BX174" s="4" t="s">
        <v>467</v>
      </c>
    </row>
    <row r="175" spans="1:76" ht="15">
      <c r="A175" s="2" t="s">
        <v>468</v>
      </c>
      <c r="B175" s="3" t="s">
        <v>395</v>
      </c>
      <c r="C175" s="3" t="s">
        <v>469</v>
      </c>
      <c r="D175" s="116" t="s">
        <v>470</v>
      </c>
      <c r="E175" s="111"/>
      <c r="F175" s="3" t="s">
        <v>332</v>
      </c>
      <c r="G175" s="30">
        <v>34</v>
      </c>
      <c r="H175" s="31">
        <v>0</v>
      </c>
      <c r="I175" s="30">
        <f>G175*H175</f>
        <v>0</v>
      </c>
      <c r="J175" s="30">
        <v>0.08693</v>
      </c>
      <c r="K175" s="32">
        <f>G175*J175</f>
        <v>2.9556199999999997</v>
      </c>
      <c r="Z175" s="30">
        <f>IF(AQ175="5",BJ175,0)</f>
        <v>0</v>
      </c>
      <c r="AB175" s="30">
        <f>IF(AQ175="1",BH175,0)</f>
        <v>0</v>
      </c>
      <c r="AC175" s="30">
        <f>IF(AQ175="1",BI175,0)</f>
        <v>0</v>
      </c>
      <c r="AD175" s="30">
        <f>IF(AQ175="7",BH175,0)</f>
        <v>0</v>
      </c>
      <c r="AE175" s="30">
        <f>IF(AQ175="7",BI175,0)</f>
        <v>0</v>
      </c>
      <c r="AF175" s="30">
        <f>IF(AQ175="2",BH175,0)</f>
        <v>0</v>
      </c>
      <c r="AG175" s="30">
        <f>IF(AQ175="2",BI175,0)</f>
        <v>0</v>
      </c>
      <c r="AH175" s="30">
        <f>IF(AQ175="0",BJ175,0)</f>
        <v>0</v>
      </c>
      <c r="AI175" s="10" t="s">
        <v>395</v>
      </c>
      <c r="AJ175" s="30">
        <f>IF(AN175=0,I175,0)</f>
        <v>0</v>
      </c>
      <c r="AK175" s="30">
        <f>IF(AN175=12,I175,0)</f>
        <v>0</v>
      </c>
      <c r="AL175" s="30">
        <f>IF(AN175=21,I175,0)</f>
        <v>0</v>
      </c>
      <c r="AN175" s="30">
        <v>21</v>
      </c>
      <c r="AO175" s="30">
        <f>H175*0.527485842</f>
        <v>0</v>
      </c>
      <c r="AP175" s="30">
        <f>H175*(1-0.527485842)</f>
        <v>0</v>
      </c>
      <c r="AQ175" s="33" t="s">
        <v>80</v>
      </c>
      <c r="AV175" s="30">
        <f>AW175+AX175</f>
        <v>0</v>
      </c>
      <c r="AW175" s="30">
        <f>G175*AO175</f>
        <v>0</v>
      </c>
      <c r="AX175" s="30">
        <f>G175*AP175</f>
        <v>0</v>
      </c>
      <c r="AY175" s="33" t="s">
        <v>279</v>
      </c>
      <c r="AZ175" s="33" t="s">
        <v>451</v>
      </c>
      <c r="BA175" s="10" t="s">
        <v>401</v>
      </c>
      <c r="BC175" s="30">
        <f>AW175+AX175</f>
        <v>0</v>
      </c>
      <c r="BD175" s="30">
        <f>H175/(100-BE175)*100</f>
        <v>0</v>
      </c>
      <c r="BE175" s="30">
        <v>0</v>
      </c>
      <c r="BF175" s="30">
        <f>K175</f>
        <v>2.9556199999999997</v>
      </c>
      <c r="BH175" s="30">
        <f>G175*AO175</f>
        <v>0</v>
      </c>
      <c r="BI175" s="30">
        <f>G175*AP175</f>
        <v>0</v>
      </c>
      <c r="BJ175" s="30">
        <f>G175*H175</f>
        <v>0</v>
      </c>
      <c r="BK175" s="30"/>
      <c r="BL175" s="30">
        <v>767</v>
      </c>
      <c r="BW175" s="30">
        <v>21</v>
      </c>
      <c r="BX175" s="4" t="s">
        <v>470</v>
      </c>
    </row>
    <row r="176" spans="1:11" ht="13.5" customHeight="1">
      <c r="A176" s="34"/>
      <c r="C176" s="35" t="s">
        <v>254</v>
      </c>
      <c r="D176" s="137" t="s">
        <v>471</v>
      </c>
      <c r="E176" s="138"/>
      <c r="F176" s="138"/>
      <c r="G176" s="138"/>
      <c r="H176" s="139"/>
      <c r="I176" s="138"/>
      <c r="J176" s="138"/>
      <c r="K176" s="140"/>
    </row>
    <row r="177" spans="1:76" ht="15">
      <c r="A177" s="2" t="s">
        <v>472</v>
      </c>
      <c r="B177" s="3" t="s">
        <v>395</v>
      </c>
      <c r="C177" s="3" t="s">
        <v>473</v>
      </c>
      <c r="D177" s="116" t="s">
        <v>474</v>
      </c>
      <c r="E177" s="111"/>
      <c r="F177" s="3" t="s">
        <v>332</v>
      </c>
      <c r="G177" s="30">
        <v>2</v>
      </c>
      <c r="H177" s="31">
        <v>0</v>
      </c>
      <c r="I177" s="30">
        <f>G177*H177</f>
        <v>0</v>
      </c>
      <c r="J177" s="30">
        <v>0.08693</v>
      </c>
      <c r="K177" s="32">
        <f>G177*J177</f>
        <v>0.17386</v>
      </c>
      <c r="Z177" s="30">
        <f>IF(AQ177="5",BJ177,0)</f>
        <v>0</v>
      </c>
      <c r="AB177" s="30">
        <f>IF(AQ177="1",BH177,0)</f>
        <v>0</v>
      </c>
      <c r="AC177" s="30">
        <f>IF(AQ177="1",BI177,0)</f>
        <v>0</v>
      </c>
      <c r="AD177" s="30">
        <f>IF(AQ177="7",BH177,0)</f>
        <v>0</v>
      </c>
      <c r="AE177" s="30">
        <f>IF(AQ177="7",BI177,0)</f>
        <v>0</v>
      </c>
      <c r="AF177" s="30">
        <f>IF(AQ177="2",BH177,0)</f>
        <v>0</v>
      </c>
      <c r="AG177" s="30">
        <f>IF(AQ177="2",BI177,0)</f>
        <v>0</v>
      </c>
      <c r="AH177" s="30">
        <f>IF(AQ177="0",BJ177,0)</f>
        <v>0</v>
      </c>
      <c r="AI177" s="10" t="s">
        <v>395</v>
      </c>
      <c r="AJ177" s="30">
        <f>IF(AN177=0,I177,0)</f>
        <v>0</v>
      </c>
      <c r="AK177" s="30">
        <f>IF(AN177=12,I177,0)</f>
        <v>0</v>
      </c>
      <c r="AL177" s="30">
        <f>IF(AN177=21,I177,0)</f>
        <v>0</v>
      </c>
      <c r="AN177" s="30">
        <v>21</v>
      </c>
      <c r="AO177" s="30">
        <f>H177*0.442333333</f>
        <v>0</v>
      </c>
      <c r="AP177" s="30">
        <f>H177*(1-0.442333333)</f>
        <v>0</v>
      </c>
      <c r="AQ177" s="33" t="s">
        <v>80</v>
      </c>
      <c r="AV177" s="30">
        <f>AW177+AX177</f>
        <v>0</v>
      </c>
      <c r="AW177" s="30">
        <f>G177*AO177</f>
        <v>0</v>
      </c>
      <c r="AX177" s="30">
        <f>G177*AP177</f>
        <v>0</v>
      </c>
      <c r="AY177" s="33" t="s">
        <v>279</v>
      </c>
      <c r="AZ177" s="33" t="s">
        <v>451</v>
      </c>
      <c r="BA177" s="10" t="s">
        <v>401</v>
      </c>
      <c r="BC177" s="30">
        <f>AW177+AX177</f>
        <v>0</v>
      </c>
      <c r="BD177" s="30">
        <f>H177/(100-BE177)*100</f>
        <v>0</v>
      </c>
      <c r="BE177" s="30">
        <v>0</v>
      </c>
      <c r="BF177" s="30">
        <f>K177</f>
        <v>0.17386</v>
      </c>
      <c r="BH177" s="30">
        <f>G177*AO177</f>
        <v>0</v>
      </c>
      <c r="BI177" s="30">
        <f>G177*AP177</f>
        <v>0</v>
      </c>
      <c r="BJ177" s="30">
        <f>G177*H177</f>
        <v>0</v>
      </c>
      <c r="BK177" s="30"/>
      <c r="BL177" s="30">
        <v>767</v>
      </c>
      <c r="BW177" s="30">
        <v>21</v>
      </c>
      <c r="BX177" s="4" t="s">
        <v>474</v>
      </c>
    </row>
    <row r="178" spans="1:76" ht="15">
      <c r="A178" s="2" t="s">
        <v>475</v>
      </c>
      <c r="B178" s="3" t="s">
        <v>395</v>
      </c>
      <c r="C178" s="3" t="s">
        <v>287</v>
      </c>
      <c r="D178" s="116" t="s">
        <v>288</v>
      </c>
      <c r="E178" s="111"/>
      <c r="F178" s="3" t="s">
        <v>179</v>
      </c>
      <c r="G178" s="30">
        <v>1413.07</v>
      </c>
      <c r="H178" s="31">
        <v>0</v>
      </c>
      <c r="I178" s="30">
        <f>G178*H178</f>
        <v>0</v>
      </c>
      <c r="J178" s="30">
        <v>0</v>
      </c>
      <c r="K178" s="32">
        <f>G178*J178</f>
        <v>0</v>
      </c>
      <c r="Z178" s="30">
        <f>IF(AQ178="5",BJ178,0)</f>
        <v>0</v>
      </c>
      <c r="AB178" s="30">
        <f>IF(AQ178="1",BH178,0)</f>
        <v>0</v>
      </c>
      <c r="AC178" s="30">
        <f>IF(AQ178="1",BI178,0)</f>
        <v>0</v>
      </c>
      <c r="AD178" s="30">
        <f>IF(AQ178="7",BH178,0)</f>
        <v>0</v>
      </c>
      <c r="AE178" s="30">
        <f>IF(AQ178="7",BI178,0)</f>
        <v>0</v>
      </c>
      <c r="AF178" s="30">
        <f>IF(AQ178="2",BH178,0)</f>
        <v>0</v>
      </c>
      <c r="AG178" s="30">
        <f>IF(AQ178="2",BI178,0)</f>
        <v>0</v>
      </c>
      <c r="AH178" s="30">
        <f>IF(AQ178="0",BJ178,0)</f>
        <v>0</v>
      </c>
      <c r="AI178" s="10" t="s">
        <v>395</v>
      </c>
      <c r="AJ178" s="30">
        <f>IF(AN178=0,I178,0)</f>
        <v>0</v>
      </c>
      <c r="AK178" s="30">
        <f>IF(AN178=12,I178,0)</f>
        <v>0</v>
      </c>
      <c r="AL178" s="30">
        <f>IF(AN178=21,I178,0)</f>
        <v>0</v>
      </c>
      <c r="AN178" s="30">
        <v>21</v>
      </c>
      <c r="AO178" s="30">
        <f>H178*0</f>
        <v>0</v>
      </c>
      <c r="AP178" s="30">
        <f>H178*(1-0)</f>
        <v>0</v>
      </c>
      <c r="AQ178" s="33" t="s">
        <v>72</v>
      </c>
      <c r="AV178" s="30">
        <f>AW178+AX178</f>
        <v>0</v>
      </c>
      <c r="AW178" s="30">
        <f>G178*AO178</f>
        <v>0</v>
      </c>
      <c r="AX178" s="30">
        <f>G178*AP178</f>
        <v>0</v>
      </c>
      <c r="AY178" s="33" t="s">
        <v>279</v>
      </c>
      <c r="AZ178" s="33" t="s">
        <v>451</v>
      </c>
      <c r="BA178" s="10" t="s">
        <v>401</v>
      </c>
      <c r="BC178" s="30">
        <f>AW178+AX178</f>
        <v>0</v>
      </c>
      <c r="BD178" s="30">
        <f>H178/(100-BE178)*100</f>
        <v>0</v>
      </c>
      <c r="BE178" s="30">
        <v>0</v>
      </c>
      <c r="BF178" s="30">
        <f>K178</f>
        <v>0</v>
      </c>
      <c r="BH178" s="30">
        <f>G178*AO178</f>
        <v>0</v>
      </c>
      <c r="BI178" s="30">
        <f>G178*AP178</f>
        <v>0</v>
      </c>
      <c r="BJ178" s="30">
        <f>G178*H178</f>
        <v>0</v>
      </c>
      <c r="BK178" s="30"/>
      <c r="BL178" s="30">
        <v>767</v>
      </c>
      <c r="BW178" s="30">
        <v>21</v>
      </c>
      <c r="BX178" s="4" t="s">
        <v>288</v>
      </c>
    </row>
    <row r="179" spans="1:47" ht="15">
      <c r="A179" s="25" t="s">
        <v>48</v>
      </c>
      <c r="B179" s="26" t="s">
        <v>395</v>
      </c>
      <c r="C179" s="26" t="s">
        <v>356</v>
      </c>
      <c r="D179" s="135" t="s">
        <v>357</v>
      </c>
      <c r="E179" s="136"/>
      <c r="F179" s="27" t="s">
        <v>4</v>
      </c>
      <c r="G179" s="27" t="s">
        <v>4</v>
      </c>
      <c r="H179" s="28" t="s">
        <v>4</v>
      </c>
      <c r="I179" s="1">
        <f>SUM(I180:I180)</f>
        <v>0</v>
      </c>
      <c r="J179" s="10" t="s">
        <v>48</v>
      </c>
      <c r="K179" s="29">
        <f>SUM(K180:K180)</f>
        <v>0.9</v>
      </c>
      <c r="AI179" s="10" t="s">
        <v>395</v>
      </c>
      <c r="AS179" s="1">
        <f>SUM(AJ180:AJ180)</f>
        <v>0</v>
      </c>
      <c r="AT179" s="1">
        <f>SUM(AK180:AK180)</f>
        <v>0</v>
      </c>
      <c r="AU179" s="1">
        <f>SUM(AL180:AL180)</f>
        <v>0</v>
      </c>
    </row>
    <row r="180" spans="1:76" ht="15">
      <c r="A180" s="2" t="s">
        <v>476</v>
      </c>
      <c r="B180" s="3" t="s">
        <v>395</v>
      </c>
      <c r="C180" s="3" t="s">
        <v>477</v>
      </c>
      <c r="D180" s="116" t="s">
        <v>478</v>
      </c>
      <c r="E180" s="111"/>
      <c r="F180" s="3" t="s">
        <v>69</v>
      </c>
      <c r="G180" s="30">
        <v>90</v>
      </c>
      <c r="H180" s="31">
        <v>0</v>
      </c>
      <c r="I180" s="30">
        <f>G180*H180</f>
        <v>0</v>
      </c>
      <c r="J180" s="30">
        <v>0.01</v>
      </c>
      <c r="K180" s="32">
        <f>G180*J180</f>
        <v>0.9</v>
      </c>
      <c r="Z180" s="30">
        <f>IF(AQ180="5",BJ180,0)</f>
        <v>0</v>
      </c>
      <c r="AB180" s="30">
        <f>IF(AQ180="1",BH180,0)</f>
        <v>0</v>
      </c>
      <c r="AC180" s="30">
        <f>IF(AQ180="1",BI180,0)</f>
        <v>0</v>
      </c>
      <c r="AD180" s="30">
        <f>IF(AQ180="7",BH180,0)</f>
        <v>0</v>
      </c>
      <c r="AE180" s="30">
        <f>IF(AQ180="7",BI180,0)</f>
        <v>0</v>
      </c>
      <c r="AF180" s="30">
        <f>IF(AQ180="2",BH180,0)</f>
        <v>0</v>
      </c>
      <c r="AG180" s="30">
        <f>IF(AQ180="2",BI180,0)</f>
        <v>0</v>
      </c>
      <c r="AH180" s="30">
        <f>IF(AQ180="0",BJ180,0)</f>
        <v>0</v>
      </c>
      <c r="AI180" s="10" t="s">
        <v>395</v>
      </c>
      <c r="AJ180" s="30">
        <f>IF(AN180=0,I180,0)</f>
        <v>0</v>
      </c>
      <c r="AK180" s="30">
        <f>IF(AN180=12,I180,0)</f>
        <v>0</v>
      </c>
      <c r="AL180" s="30">
        <f>IF(AN180=21,I180,0)</f>
        <v>0</v>
      </c>
      <c r="AN180" s="30">
        <v>21</v>
      </c>
      <c r="AO180" s="30">
        <f>H180*0</f>
        <v>0</v>
      </c>
      <c r="AP180" s="30">
        <f>H180*(1-0)</f>
        <v>0</v>
      </c>
      <c r="AQ180" s="33" t="s">
        <v>53</v>
      </c>
      <c r="AV180" s="30">
        <f>AW180+AX180</f>
        <v>0</v>
      </c>
      <c r="AW180" s="30">
        <f>G180*AO180</f>
        <v>0</v>
      </c>
      <c r="AX180" s="30">
        <f>G180*AP180</f>
        <v>0</v>
      </c>
      <c r="AY180" s="33" t="s">
        <v>361</v>
      </c>
      <c r="AZ180" s="33" t="s">
        <v>479</v>
      </c>
      <c r="BA180" s="10" t="s">
        <v>401</v>
      </c>
      <c r="BC180" s="30">
        <f>AW180+AX180</f>
        <v>0</v>
      </c>
      <c r="BD180" s="30">
        <f>H180/(100-BE180)*100</f>
        <v>0</v>
      </c>
      <c r="BE180" s="30">
        <v>0</v>
      </c>
      <c r="BF180" s="30">
        <f>K180</f>
        <v>0.9</v>
      </c>
      <c r="BH180" s="30">
        <f>G180*AO180</f>
        <v>0</v>
      </c>
      <c r="BI180" s="30">
        <f>G180*AP180</f>
        <v>0</v>
      </c>
      <c r="BJ180" s="30">
        <f>G180*H180</f>
        <v>0</v>
      </c>
      <c r="BK180" s="30"/>
      <c r="BL180" s="30">
        <v>96</v>
      </c>
      <c r="BW180" s="30">
        <v>21</v>
      </c>
      <c r="BX180" s="4" t="s">
        <v>478</v>
      </c>
    </row>
    <row r="181" spans="1:47" ht="15">
      <c r="A181" s="25" t="s">
        <v>48</v>
      </c>
      <c r="B181" s="26" t="s">
        <v>395</v>
      </c>
      <c r="C181" s="26" t="s">
        <v>368</v>
      </c>
      <c r="D181" s="135" t="s">
        <v>369</v>
      </c>
      <c r="E181" s="136"/>
      <c r="F181" s="27" t="s">
        <v>4</v>
      </c>
      <c r="G181" s="27" t="s">
        <v>4</v>
      </c>
      <c r="H181" s="28" t="s">
        <v>4</v>
      </c>
      <c r="I181" s="1">
        <f>SUM(I182:I182)</f>
        <v>0</v>
      </c>
      <c r="J181" s="10" t="s">
        <v>48</v>
      </c>
      <c r="K181" s="29">
        <f>SUM(K182:K182)</f>
        <v>0</v>
      </c>
      <c r="AI181" s="10" t="s">
        <v>395</v>
      </c>
      <c r="AS181" s="1">
        <f>SUM(AJ182:AJ182)</f>
        <v>0</v>
      </c>
      <c r="AT181" s="1">
        <f>SUM(AK182:AK182)</f>
        <v>0</v>
      </c>
      <c r="AU181" s="1">
        <f>SUM(AL182:AL182)</f>
        <v>0</v>
      </c>
    </row>
    <row r="182" spans="1:76" ht="15">
      <c r="A182" s="2" t="s">
        <v>480</v>
      </c>
      <c r="B182" s="3" t="s">
        <v>395</v>
      </c>
      <c r="C182" s="3" t="s">
        <v>371</v>
      </c>
      <c r="D182" s="116" t="s">
        <v>372</v>
      </c>
      <c r="E182" s="111"/>
      <c r="F182" s="3" t="s">
        <v>102</v>
      </c>
      <c r="G182" s="30">
        <v>176.4</v>
      </c>
      <c r="H182" s="31">
        <v>0</v>
      </c>
      <c r="I182" s="30">
        <f>G182*H182</f>
        <v>0</v>
      </c>
      <c r="J182" s="30">
        <v>0</v>
      </c>
      <c r="K182" s="32">
        <f>G182*J182</f>
        <v>0</v>
      </c>
      <c r="Z182" s="30">
        <f>IF(AQ182="5",BJ182,0)</f>
        <v>0</v>
      </c>
      <c r="AB182" s="30">
        <f>IF(AQ182="1",BH182,0)</f>
        <v>0</v>
      </c>
      <c r="AC182" s="30">
        <f>IF(AQ182="1",BI182,0)</f>
        <v>0</v>
      </c>
      <c r="AD182" s="30">
        <f>IF(AQ182="7",BH182,0)</f>
        <v>0</v>
      </c>
      <c r="AE182" s="30">
        <f>IF(AQ182="7",BI182,0)</f>
        <v>0</v>
      </c>
      <c r="AF182" s="30">
        <f>IF(AQ182="2",BH182,0)</f>
        <v>0</v>
      </c>
      <c r="AG182" s="30">
        <f>IF(AQ182="2",BI182,0)</f>
        <v>0</v>
      </c>
      <c r="AH182" s="30">
        <f>IF(AQ182="0",BJ182,0)</f>
        <v>0</v>
      </c>
      <c r="AI182" s="10" t="s">
        <v>395</v>
      </c>
      <c r="AJ182" s="30">
        <f>IF(AN182=0,I182,0)</f>
        <v>0</v>
      </c>
      <c r="AK182" s="30">
        <f>IF(AN182=12,I182,0)</f>
        <v>0</v>
      </c>
      <c r="AL182" s="30">
        <f>IF(AN182=21,I182,0)</f>
        <v>0</v>
      </c>
      <c r="AN182" s="30">
        <v>21</v>
      </c>
      <c r="AO182" s="30">
        <f>H182*0</f>
        <v>0</v>
      </c>
      <c r="AP182" s="30">
        <f>H182*(1-0)</f>
        <v>0</v>
      </c>
      <c r="AQ182" s="33" t="s">
        <v>72</v>
      </c>
      <c r="AV182" s="30">
        <f>AW182+AX182</f>
        <v>0</v>
      </c>
      <c r="AW182" s="30">
        <f>G182*AO182</f>
        <v>0</v>
      </c>
      <c r="AX182" s="30">
        <f>G182*AP182</f>
        <v>0</v>
      </c>
      <c r="AY182" s="33" t="s">
        <v>373</v>
      </c>
      <c r="AZ182" s="33" t="s">
        <v>479</v>
      </c>
      <c r="BA182" s="10" t="s">
        <v>401</v>
      </c>
      <c r="BC182" s="30">
        <f>AW182+AX182</f>
        <v>0</v>
      </c>
      <c r="BD182" s="30">
        <f>H182/(100-BE182)*100</f>
        <v>0</v>
      </c>
      <c r="BE182" s="30">
        <v>0</v>
      </c>
      <c r="BF182" s="30">
        <f>K182</f>
        <v>0</v>
      </c>
      <c r="BH182" s="30">
        <f>G182*AO182</f>
        <v>0</v>
      </c>
      <c r="BI182" s="30">
        <f>G182*AP182</f>
        <v>0</v>
      </c>
      <c r="BJ182" s="30">
        <f>G182*H182</f>
        <v>0</v>
      </c>
      <c r="BK182" s="30"/>
      <c r="BL182" s="30"/>
      <c r="BW182" s="30">
        <v>21</v>
      </c>
      <c r="BX182" s="4" t="s">
        <v>372</v>
      </c>
    </row>
    <row r="183" spans="1:47" ht="15">
      <c r="A183" s="25" t="s">
        <v>48</v>
      </c>
      <c r="B183" s="26" t="s">
        <v>395</v>
      </c>
      <c r="C183" s="26" t="s">
        <v>374</v>
      </c>
      <c r="D183" s="135" t="s">
        <v>375</v>
      </c>
      <c r="E183" s="136"/>
      <c r="F183" s="27" t="s">
        <v>4</v>
      </c>
      <c r="G183" s="27" t="s">
        <v>4</v>
      </c>
      <c r="H183" s="28" t="s">
        <v>4</v>
      </c>
      <c r="I183" s="1">
        <f>SUM(I184:I189)</f>
        <v>0</v>
      </c>
      <c r="J183" s="10" t="s">
        <v>48</v>
      </c>
      <c r="K183" s="29">
        <f>SUM(K184:K189)</f>
        <v>0</v>
      </c>
      <c r="AI183" s="10" t="s">
        <v>395</v>
      </c>
      <c r="AS183" s="1">
        <f>SUM(AJ184:AJ189)</f>
        <v>0</v>
      </c>
      <c r="AT183" s="1">
        <f>SUM(AK184:AK189)</f>
        <v>0</v>
      </c>
      <c r="AU183" s="1">
        <f>SUM(AL184:AL189)</f>
        <v>0</v>
      </c>
    </row>
    <row r="184" spans="1:76" ht="15">
      <c r="A184" s="2" t="s">
        <v>481</v>
      </c>
      <c r="B184" s="3" t="s">
        <v>395</v>
      </c>
      <c r="C184" s="3" t="s">
        <v>377</v>
      </c>
      <c r="D184" s="116" t="s">
        <v>378</v>
      </c>
      <c r="E184" s="111"/>
      <c r="F184" s="3" t="s">
        <v>102</v>
      </c>
      <c r="G184" s="30">
        <v>178.3</v>
      </c>
      <c r="H184" s="31">
        <v>0</v>
      </c>
      <c r="I184" s="30">
        <f aca="true" t="shared" si="92" ref="I184:I189">G184*H184</f>
        <v>0</v>
      </c>
      <c r="J184" s="30">
        <v>0</v>
      </c>
      <c r="K184" s="32">
        <f aca="true" t="shared" si="93" ref="K184:K189">G184*J184</f>
        <v>0</v>
      </c>
      <c r="Z184" s="30">
        <f aca="true" t="shared" si="94" ref="Z184:Z189">IF(AQ184="5",BJ184,0)</f>
        <v>0</v>
      </c>
      <c r="AB184" s="30">
        <f aca="true" t="shared" si="95" ref="AB184:AB189">IF(AQ184="1",BH184,0)</f>
        <v>0</v>
      </c>
      <c r="AC184" s="30">
        <f aca="true" t="shared" si="96" ref="AC184:AC189">IF(AQ184="1",BI184,0)</f>
        <v>0</v>
      </c>
      <c r="AD184" s="30">
        <f aca="true" t="shared" si="97" ref="AD184:AD189">IF(AQ184="7",BH184,0)</f>
        <v>0</v>
      </c>
      <c r="AE184" s="30">
        <f aca="true" t="shared" si="98" ref="AE184:AE189">IF(AQ184="7",BI184,0)</f>
        <v>0</v>
      </c>
      <c r="AF184" s="30">
        <f aca="true" t="shared" si="99" ref="AF184:AF189">IF(AQ184="2",BH184,0)</f>
        <v>0</v>
      </c>
      <c r="AG184" s="30">
        <f aca="true" t="shared" si="100" ref="AG184:AG189">IF(AQ184="2",BI184,0)</f>
        <v>0</v>
      </c>
      <c r="AH184" s="30">
        <f aca="true" t="shared" si="101" ref="AH184:AH189">IF(AQ184="0",BJ184,0)</f>
        <v>0</v>
      </c>
      <c r="AI184" s="10" t="s">
        <v>395</v>
      </c>
      <c r="AJ184" s="30">
        <f aca="true" t="shared" si="102" ref="AJ184:AJ189">IF(AN184=0,I184,0)</f>
        <v>0</v>
      </c>
      <c r="AK184" s="30">
        <f aca="true" t="shared" si="103" ref="AK184:AK189">IF(AN184=12,I184,0)</f>
        <v>0</v>
      </c>
      <c r="AL184" s="30">
        <f aca="true" t="shared" si="104" ref="AL184:AL189">IF(AN184=21,I184,0)</f>
        <v>0</v>
      </c>
      <c r="AN184" s="30">
        <v>21</v>
      </c>
      <c r="AO184" s="30">
        <f aca="true" t="shared" si="105" ref="AO184:AO189">H184*0</f>
        <v>0</v>
      </c>
      <c r="AP184" s="30">
        <f aca="true" t="shared" si="106" ref="AP184:AP189">H184*(1-0)</f>
        <v>0</v>
      </c>
      <c r="AQ184" s="33" t="s">
        <v>72</v>
      </c>
      <c r="AV184" s="30">
        <f aca="true" t="shared" si="107" ref="AV184:AV189">AW184+AX184</f>
        <v>0</v>
      </c>
      <c r="AW184" s="30">
        <f aca="true" t="shared" si="108" ref="AW184:AW189">G184*AO184</f>
        <v>0</v>
      </c>
      <c r="AX184" s="30">
        <f aca="true" t="shared" si="109" ref="AX184:AX189">G184*AP184</f>
        <v>0</v>
      </c>
      <c r="AY184" s="33" t="s">
        <v>379</v>
      </c>
      <c r="AZ184" s="33" t="s">
        <v>479</v>
      </c>
      <c r="BA184" s="10" t="s">
        <v>401</v>
      </c>
      <c r="BC184" s="30">
        <f aca="true" t="shared" si="110" ref="BC184:BC189">AW184+AX184</f>
        <v>0</v>
      </c>
      <c r="BD184" s="30">
        <f aca="true" t="shared" si="111" ref="BD184:BD189">H184/(100-BE184)*100</f>
        <v>0</v>
      </c>
      <c r="BE184" s="30">
        <v>0</v>
      </c>
      <c r="BF184" s="30">
        <f aca="true" t="shared" si="112" ref="BF184:BF189">K184</f>
        <v>0</v>
      </c>
      <c r="BH184" s="30">
        <f aca="true" t="shared" si="113" ref="BH184:BH189">G184*AO184</f>
        <v>0</v>
      </c>
      <c r="BI184" s="30">
        <f aca="true" t="shared" si="114" ref="BI184:BI189">G184*AP184</f>
        <v>0</v>
      </c>
      <c r="BJ184" s="30">
        <f aca="true" t="shared" si="115" ref="BJ184:BJ189">G184*H184</f>
        <v>0</v>
      </c>
      <c r="BK184" s="30"/>
      <c r="BL184" s="30"/>
      <c r="BW184" s="30">
        <v>21</v>
      </c>
      <c r="BX184" s="4" t="s">
        <v>378</v>
      </c>
    </row>
    <row r="185" spans="1:76" ht="15">
      <c r="A185" s="2" t="s">
        <v>482</v>
      </c>
      <c r="B185" s="3" t="s">
        <v>395</v>
      </c>
      <c r="C185" s="3" t="s">
        <v>381</v>
      </c>
      <c r="D185" s="116" t="s">
        <v>382</v>
      </c>
      <c r="E185" s="111"/>
      <c r="F185" s="3" t="s">
        <v>102</v>
      </c>
      <c r="G185" s="30">
        <v>178.3</v>
      </c>
      <c r="H185" s="31">
        <v>0</v>
      </c>
      <c r="I185" s="30">
        <f t="shared" si="92"/>
        <v>0</v>
      </c>
      <c r="J185" s="30">
        <v>0</v>
      </c>
      <c r="K185" s="32">
        <f t="shared" si="93"/>
        <v>0</v>
      </c>
      <c r="Z185" s="30">
        <f t="shared" si="94"/>
        <v>0</v>
      </c>
      <c r="AB185" s="30">
        <f t="shared" si="95"/>
        <v>0</v>
      </c>
      <c r="AC185" s="30">
        <f t="shared" si="96"/>
        <v>0</v>
      </c>
      <c r="AD185" s="30">
        <f t="shared" si="97"/>
        <v>0</v>
      </c>
      <c r="AE185" s="30">
        <f t="shared" si="98"/>
        <v>0</v>
      </c>
      <c r="AF185" s="30">
        <f t="shared" si="99"/>
        <v>0</v>
      </c>
      <c r="AG185" s="30">
        <f t="shared" si="100"/>
        <v>0</v>
      </c>
      <c r="AH185" s="30">
        <f t="shared" si="101"/>
        <v>0</v>
      </c>
      <c r="AI185" s="10" t="s">
        <v>395</v>
      </c>
      <c r="AJ185" s="30">
        <f t="shared" si="102"/>
        <v>0</v>
      </c>
      <c r="AK185" s="30">
        <f t="shared" si="103"/>
        <v>0</v>
      </c>
      <c r="AL185" s="30">
        <f t="shared" si="104"/>
        <v>0</v>
      </c>
      <c r="AN185" s="30">
        <v>21</v>
      </c>
      <c r="AO185" s="30">
        <f t="shared" si="105"/>
        <v>0</v>
      </c>
      <c r="AP185" s="30">
        <f t="shared" si="106"/>
        <v>0</v>
      </c>
      <c r="AQ185" s="33" t="s">
        <v>72</v>
      </c>
      <c r="AV185" s="30">
        <f t="shared" si="107"/>
        <v>0</v>
      </c>
      <c r="AW185" s="30">
        <f t="shared" si="108"/>
        <v>0</v>
      </c>
      <c r="AX185" s="30">
        <f t="shared" si="109"/>
        <v>0</v>
      </c>
      <c r="AY185" s="33" t="s">
        <v>379</v>
      </c>
      <c r="AZ185" s="33" t="s">
        <v>479</v>
      </c>
      <c r="BA185" s="10" t="s">
        <v>401</v>
      </c>
      <c r="BC185" s="30">
        <f t="shared" si="110"/>
        <v>0</v>
      </c>
      <c r="BD185" s="30">
        <f t="shared" si="111"/>
        <v>0</v>
      </c>
      <c r="BE185" s="30">
        <v>0</v>
      </c>
      <c r="BF185" s="30">
        <f t="shared" si="112"/>
        <v>0</v>
      </c>
      <c r="BH185" s="30">
        <f t="shared" si="113"/>
        <v>0</v>
      </c>
      <c r="BI185" s="30">
        <f t="shared" si="114"/>
        <v>0</v>
      </c>
      <c r="BJ185" s="30">
        <f t="shared" si="115"/>
        <v>0</v>
      </c>
      <c r="BK185" s="30"/>
      <c r="BL185" s="30"/>
      <c r="BW185" s="30">
        <v>21</v>
      </c>
      <c r="BX185" s="4" t="s">
        <v>382</v>
      </c>
    </row>
    <row r="186" spans="1:76" ht="15">
      <c r="A186" s="2" t="s">
        <v>483</v>
      </c>
      <c r="B186" s="3" t="s">
        <v>395</v>
      </c>
      <c r="C186" s="3" t="s">
        <v>384</v>
      </c>
      <c r="D186" s="116" t="s">
        <v>385</v>
      </c>
      <c r="E186" s="111"/>
      <c r="F186" s="3" t="s">
        <v>102</v>
      </c>
      <c r="G186" s="30">
        <v>1961.3</v>
      </c>
      <c r="H186" s="31">
        <v>0</v>
      </c>
      <c r="I186" s="30">
        <f t="shared" si="92"/>
        <v>0</v>
      </c>
      <c r="J186" s="30">
        <v>0</v>
      </c>
      <c r="K186" s="32">
        <f t="shared" si="93"/>
        <v>0</v>
      </c>
      <c r="Z186" s="30">
        <f t="shared" si="94"/>
        <v>0</v>
      </c>
      <c r="AB186" s="30">
        <f t="shared" si="95"/>
        <v>0</v>
      </c>
      <c r="AC186" s="30">
        <f t="shared" si="96"/>
        <v>0</v>
      </c>
      <c r="AD186" s="30">
        <f t="shared" si="97"/>
        <v>0</v>
      </c>
      <c r="AE186" s="30">
        <f t="shared" si="98"/>
        <v>0</v>
      </c>
      <c r="AF186" s="30">
        <f t="shared" si="99"/>
        <v>0</v>
      </c>
      <c r="AG186" s="30">
        <f t="shared" si="100"/>
        <v>0</v>
      </c>
      <c r="AH186" s="30">
        <f t="shared" si="101"/>
        <v>0</v>
      </c>
      <c r="AI186" s="10" t="s">
        <v>395</v>
      </c>
      <c r="AJ186" s="30">
        <f t="shared" si="102"/>
        <v>0</v>
      </c>
      <c r="AK186" s="30">
        <f t="shared" si="103"/>
        <v>0</v>
      </c>
      <c r="AL186" s="30">
        <f t="shared" si="104"/>
        <v>0</v>
      </c>
      <c r="AN186" s="30">
        <v>21</v>
      </c>
      <c r="AO186" s="30">
        <f t="shared" si="105"/>
        <v>0</v>
      </c>
      <c r="AP186" s="30">
        <f t="shared" si="106"/>
        <v>0</v>
      </c>
      <c r="AQ186" s="33" t="s">
        <v>72</v>
      </c>
      <c r="AV186" s="30">
        <f t="shared" si="107"/>
        <v>0</v>
      </c>
      <c r="AW186" s="30">
        <f t="shared" si="108"/>
        <v>0</v>
      </c>
      <c r="AX186" s="30">
        <f t="shared" si="109"/>
        <v>0</v>
      </c>
      <c r="AY186" s="33" t="s">
        <v>379</v>
      </c>
      <c r="AZ186" s="33" t="s">
        <v>479</v>
      </c>
      <c r="BA186" s="10" t="s">
        <v>401</v>
      </c>
      <c r="BC186" s="30">
        <f t="shared" si="110"/>
        <v>0</v>
      </c>
      <c r="BD186" s="30">
        <f t="shared" si="111"/>
        <v>0</v>
      </c>
      <c r="BE186" s="30">
        <v>0</v>
      </c>
      <c r="BF186" s="30">
        <f t="shared" si="112"/>
        <v>0</v>
      </c>
      <c r="BH186" s="30">
        <f t="shared" si="113"/>
        <v>0</v>
      </c>
      <c r="BI186" s="30">
        <f t="shared" si="114"/>
        <v>0</v>
      </c>
      <c r="BJ186" s="30">
        <f t="shared" si="115"/>
        <v>0</v>
      </c>
      <c r="BK186" s="30"/>
      <c r="BL186" s="30"/>
      <c r="BW186" s="30">
        <v>21</v>
      </c>
      <c r="BX186" s="4" t="s">
        <v>385</v>
      </c>
    </row>
    <row r="187" spans="1:76" ht="15">
      <c r="A187" s="2" t="s">
        <v>484</v>
      </c>
      <c r="B187" s="3" t="s">
        <v>395</v>
      </c>
      <c r="C187" s="3" t="s">
        <v>387</v>
      </c>
      <c r="D187" s="116" t="s">
        <v>388</v>
      </c>
      <c r="E187" s="111"/>
      <c r="F187" s="3" t="s">
        <v>102</v>
      </c>
      <c r="G187" s="30">
        <v>178.3</v>
      </c>
      <c r="H187" s="31">
        <v>0</v>
      </c>
      <c r="I187" s="30">
        <f t="shared" si="92"/>
        <v>0</v>
      </c>
      <c r="J187" s="30">
        <v>0</v>
      </c>
      <c r="K187" s="32">
        <f t="shared" si="93"/>
        <v>0</v>
      </c>
      <c r="Z187" s="30">
        <f t="shared" si="94"/>
        <v>0</v>
      </c>
      <c r="AB187" s="30">
        <f t="shared" si="95"/>
        <v>0</v>
      </c>
      <c r="AC187" s="30">
        <f t="shared" si="96"/>
        <v>0</v>
      </c>
      <c r="AD187" s="30">
        <f t="shared" si="97"/>
        <v>0</v>
      </c>
      <c r="AE187" s="30">
        <f t="shared" si="98"/>
        <v>0</v>
      </c>
      <c r="AF187" s="30">
        <f t="shared" si="99"/>
        <v>0</v>
      </c>
      <c r="AG187" s="30">
        <f t="shared" si="100"/>
        <v>0</v>
      </c>
      <c r="AH187" s="30">
        <f t="shared" si="101"/>
        <v>0</v>
      </c>
      <c r="AI187" s="10" t="s">
        <v>395</v>
      </c>
      <c r="AJ187" s="30">
        <f t="shared" si="102"/>
        <v>0</v>
      </c>
      <c r="AK187" s="30">
        <f t="shared" si="103"/>
        <v>0</v>
      </c>
      <c r="AL187" s="30">
        <f t="shared" si="104"/>
        <v>0</v>
      </c>
      <c r="AN187" s="30">
        <v>21</v>
      </c>
      <c r="AO187" s="30">
        <f t="shared" si="105"/>
        <v>0</v>
      </c>
      <c r="AP187" s="30">
        <f t="shared" si="106"/>
        <v>0</v>
      </c>
      <c r="AQ187" s="33" t="s">
        <v>72</v>
      </c>
      <c r="AV187" s="30">
        <f t="shared" si="107"/>
        <v>0</v>
      </c>
      <c r="AW187" s="30">
        <f t="shared" si="108"/>
        <v>0</v>
      </c>
      <c r="AX187" s="30">
        <f t="shared" si="109"/>
        <v>0</v>
      </c>
      <c r="AY187" s="33" t="s">
        <v>379</v>
      </c>
      <c r="AZ187" s="33" t="s">
        <v>479</v>
      </c>
      <c r="BA187" s="10" t="s">
        <v>401</v>
      </c>
      <c r="BC187" s="30">
        <f t="shared" si="110"/>
        <v>0</v>
      </c>
      <c r="BD187" s="30">
        <f t="shared" si="111"/>
        <v>0</v>
      </c>
      <c r="BE187" s="30">
        <v>0</v>
      </c>
      <c r="BF187" s="30">
        <f t="shared" si="112"/>
        <v>0</v>
      </c>
      <c r="BH187" s="30">
        <f t="shared" si="113"/>
        <v>0</v>
      </c>
      <c r="BI187" s="30">
        <f t="shared" si="114"/>
        <v>0</v>
      </c>
      <c r="BJ187" s="30">
        <f t="shared" si="115"/>
        <v>0</v>
      </c>
      <c r="BK187" s="30"/>
      <c r="BL187" s="30"/>
      <c r="BW187" s="30">
        <v>21</v>
      </c>
      <c r="BX187" s="4" t="s">
        <v>388</v>
      </c>
    </row>
    <row r="188" spans="1:76" ht="15">
      <c r="A188" s="2" t="s">
        <v>485</v>
      </c>
      <c r="B188" s="3" t="s">
        <v>395</v>
      </c>
      <c r="C188" s="3" t="s">
        <v>390</v>
      </c>
      <c r="D188" s="116" t="s">
        <v>391</v>
      </c>
      <c r="E188" s="111"/>
      <c r="F188" s="3" t="s">
        <v>102</v>
      </c>
      <c r="G188" s="30">
        <v>178.3</v>
      </c>
      <c r="H188" s="31">
        <v>0</v>
      </c>
      <c r="I188" s="30">
        <f t="shared" si="92"/>
        <v>0</v>
      </c>
      <c r="J188" s="30">
        <v>0</v>
      </c>
      <c r="K188" s="32">
        <f t="shared" si="93"/>
        <v>0</v>
      </c>
      <c r="Z188" s="30">
        <f t="shared" si="94"/>
        <v>0</v>
      </c>
      <c r="AB188" s="30">
        <f t="shared" si="95"/>
        <v>0</v>
      </c>
      <c r="AC188" s="30">
        <f t="shared" si="96"/>
        <v>0</v>
      </c>
      <c r="AD188" s="30">
        <f t="shared" si="97"/>
        <v>0</v>
      </c>
      <c r="AE188" s="30">
        <f t="shared" si="98"/>
        <v>0</v>
      </c>
      <c r="AF188" s="30">
        <f t="shared" si="99"/>
        <v>0</v>
      </c>
      <c r="AG188" s="30">
        <f t="shared" si="100"/>
        <v>0</v>
      </c>
      <c r="AH188" s="30">
        <f t="shared" si="101"/>
        <v>0</v>
      </c>
      <c r="AI188" s="10" t="s">
        <v>395</v>
      </c>
      <c r="AJ188" s="30">
        <f t="shared" si="102"/>
        <v>0</v>
      </c>
      <c r="AK188" s="30">
        <f t="shared" si="103"/>
        <v>0</v>
      </c>
      <c r="AL188" s="30">
        <f t="shared" si="104"/>
        <v>0</v>
      </c>
      <c r="AN188" s="30">
        <v>21</v>
      </c>
      <c r="AO188" s="30">
        <f t="shared" si="105"/>
        <v>0</v>
      </c>
      <c r="AP188" s="30">
        <f t="shared" si="106"/>
        <v>0</v>
      </c>
      <c r="AQ188" s="33" t="s">
        <v>72</v>
      </c>
      <c r="AV188" s="30">
        <f t="shared" si="107"/>
        <v>0</v>
      </c>
      <c r="AW188" s="30">
        <f t="shared" si="108"/>
        <v>0</v>
      </c>
      <c r="AX188" s="30">
        <f t="shared" si="109"/>
        <v>0</v>
      </c>
      <c r="AY188" s="33" t="s">
        <v>379</v>
      </c>
      <c r="AZ188" s="33" t="s">
        <v>479</v>
      </c>
      <c r="BA188" s="10" t="s">
        <v>401</v>
      </c>
      <c r="BC188" s="30">
        <f t="shared" si="110"/>
        <v>0</v>
      </c>
      <c r="BD188" s="30">
        <f t="shared" si="111"/>
        <v>0</v>
      </c>
      <c r="BE188" s="30">
        <v>0</v>
      </c>
      <c r="BF188" s="30">
        <f t="shared" si="112"/>
        <v>0</v>
      </c>
      <c r="BH188" s="30">
        <f t="shared" si="113"/>
        <v>0</v>
      </c>
      <c r="BI188" s="30">
        <f t="shared" si="114"/>
        <v>0</v>
      </c>
      <c r="BJ188" s="30">
        <f t="shared" si="115"/>
        <v>0</v>
      </c>
      <c r="BK188" s="30"/>
      <c r="BL188" s="30"/>
      <c r="BW188" s="30">
        <v>21</v>
      </c>
      <c r="BX188" s="4" t="s">
        <v>391</v>
      </c>
    </row>
    <row r="189" spans="1:76" ht="15">
      <c r="A189" s="2" t="s">
        <v>486</v>
      </c>
      <c r="B189" s="3" t="s">
        <v>395</v>
      </c>
      <c r="C189" s="3" t="s">
        <v>393</v>
      </c>
      <c r="D189" s="116" t="s">
        <v>394</v>
      </c>
      <c r="E189" s="111"/>
      <c r="F189" s="3" t="s">
        <v>102</v>
      </c>
      <c r="G189" s="30">
        <v>178.3</v>
      </c>
      <c r="H189" s="31">
        <v>0</v>
      </c>
      <c r="I189" s="30">
        <f t="shared" si="92"/>
        <v>0</v>
      </c>
      <c r="J189" s="30">
        <v>0</v>
      </c>
      <c r="K189" s="32">
        <f t="shared" si="93"/>
        <v>0</v>
      </c>
      <c r="Z189" s="30">
        <f t="shared" si="94"/>
        <v>0</v>
      </c>
      <c r="AB189" s="30">
        <f t="shared" si="95"/>
        <v>0</v>
      </c>
      <c r="AC189" s="30">
        <f t="shared" si="96"/>
        <v>0</v>
      </c>
      <c r="AD189" s="30">
        <f t="shared" si="97"/>
        <v>0</v>
      </c>
      <c r="AE189" s="30">
        <f t="shared" si="98"/>
        <v>0</v>
      </c>
      <c r="AF189" s="30">
        <f t="shared" si="99"/>
        <v>0</v>
      </c>
      <c r="AG189" s="30">
        <f t="shared" si="100"/>
        <v>0</v>
      </c>
      <c r="AH189" s="30">
        <f t="shared" si="101"/>
        <v>0</v>
      </c>
      <c r="AI189" s="10" t="s">
        <v>395</v>
      </c>
      <c r="AJ189" s="30">
        <f t="shared" si="102"/>
        <v>0</v>
      </c>
      <c r="AK189" s="30">
        <f t="shared" si="103"/>
        <v>0</v>
      </c>
      <c r="AL189" s="30">
        <f t="shared" si="104"/>
        <v>0</v>
      </c>
      <c r="AN189" s="30">
        <v>21</v>
      </c>
      <c r="AO189" s="30">
        <f t="shared" si="105"/>
        <v>0</v>
      </c>
      <c r="AP189" s="30">
        <f t="shared" si="106"/>
        <v>0</v>
      </c>
      <c r="AQ189" s="33" t="s">
        <v>72</v>
      </c>
      <c r="AV189" s="30">
        <f t="shared" si="107"/>
        <v>0</v>
      </c>
      <c r="AW189" s="30">
        <f t="shared" si="108"/>
        <v>0</v>
      </c>
      <c r="AX189" s="30">
        <f t="shared" si="109"/>
        <v>0</v>
      </c>
      <c r="AY189" s="33" t="s">
        <v>379</v>
      </c>
      <c r="AZ189" s="33" t="s">
        <v>479</v>
      </c>
      <c r="BA189" s="10" t="s">
        <v>401</v>
      </c>
      <c r="BC189" s="30">
        <f t="shared" si="110"/>
        <v>0</v>
      </c>
      <c r="BD189" s="30">
        <f t="shared" si="111"/>
        <v>0</v>
      </c>
      <c r="BE189" s="30">
        <v>0</v>
      </c>
      <c r="BF189" s="30">
        <f t="shared" si="112"/>
        <v>0</v>
      </c>
      <c r="BH189" s="30">
        <f t="shared" si="113"/>
        <v>0</v>
      </c>
      <c r="BI189" s="30">
        <f t="shared" si="114"/>
        <v>0</v>
      </c>
      <c r="BJ189" s="30">
        <f t="shared" si="115"/>
        <v>0</v>
      </c>
      <c r="BK189" s="30"/>
      <c r="BL189" s="30"/>
      <c r="BW189" s="30">
        <v>21</v>
      </c>
      <c r="BX189" s="4" t="s">
        <v>394</v>
      </c>
    </row>
    <row r="190" spans="1:11" ht="15">
      <c r="A190" s="25" t="s">
        <v>48</v>
      </c>
      <c r="B190" s="26" t="s">
        <v>487</v>
      </c>
      <c r="C190" s="26" t="s">
        <v>48</v>
      </c>
      <c r="D190" s="135" t="s">
        <v>488</v>
      </c>
      <c r="E190" s="136"/>
      <c r="F190" s="27" t="s">
        <v>4</v>
      </c>
      <c r="G190" s="27" t="s">
        <v>4</v>
      </c>
      <c r="H190" s="28" t="s">
        <v>4</v>
      </c>
      <c r="I190" s="1">
        <f>I191+I198+I211</f>
        <v>0</v>
      </c>
      <c r="J190" s="10" t="s">
        <v>48</v>
      </c>
      <c r="K190" s="29">
        <f>K191+K198+K211</f>
        <v>0</v>
      </c>
    </row>
    <row r="191" spans="1:47" ht="15">
      <c r="A191" s="25" t="s">
        <v>48</v>
      </c>
      <c r="B191" s="26" t="s">
        <v>487</v>
      </c>
      <c r="C191" s="26" t="s">
        <v>489</v>
      </c>
      <c r="D191" s="135" t="s">
        <v>490</v>
      </c>
      <c r="E191" s="136"/>
      <c r="F191" s="27" t="s">
        <v>4</v>
      </c>
      <c r="G191" s="27" t="s">
        <v>4</v>
      </c>
      <c r="H191" s="28" t="s">
        <v>4</v>
      </c>
      <c r="I191" s="1">
        <f>SUM(I192:I197)</f>
        <v>0</v>
      </c>
      <c r="J191" s="10" t="s">
        <v>48</v>
      </c>
      <c r="K191" s="29">
        <f>SUM(K192:K197)</f>
        <v>0</v>
      </c>
      <c r="AI191" s="10" t="s">
        <v>487</v>
      </c>
      <c r="AS191" s="1">
        <f>SUM(AJ192:AJ197)</f>
        <v>0</v>
      </c>
      <c r="AT191" s="1">
        <f>SUM(AK192:AK197)</f>
        <v>0</v>
      </c>
      <c r="AU191" s="1">
        <f>SUM(AL192:AL197)</f>
        <v>0</v>
      </c>
    </row>
    <row r="192" spans="1:76" ht="25.5">
      <c r="A192" s="2" t="s">
        <v>491</v>
      </c>
      <c r="B192" s="3" t="s">
        <v>487</v>
      </c>
      <c r="C192" s="3" t="s">
        <v>492</v>
      </c>
      <c r="D192" s="116" t="s">
        <v>493</v>
      </c>
      <c r="E192" s="111"/>
      <c r="F192" s="3" t="s">
        <v>332</v>
      </c>
      <c r="G192" s="30">
        <v>1</v>
      </c>
      <c r="H192" s="31">
        <v>0</v>
      </c>
      <c r="I192" s="30">
        <f aca="true" t="shared" si="116" ref="I192:I197">G192*H192</f>
        <v>0</v>
      </c>
      <c r="J192" s="30">
        <v>0</v>
      </c>
      <c r="K192" s="32">
        <f aca="true" t="shared" si="117" ref="K192:K197">G192*J192</f>
        <v>0</v>
      </c>
      <c r="Z192" s="30">
        <f aca="true" t="shared" si="118" ref="Z192:Z197">IF(AQ192="5",BJ192,0)</f>
        <v>0</v>
      </c>
      <c r="AB192" s="30">
        <f aca="true" t="shared" si="119" ref="AB192:AB197">IF(AQ192="1",BH192,0)</f>
        <v>0</v>
      </c>
      <c r="AC192" s="30">
        <f aca="true" t="shared" si="120" ref="AC192:AC197">IF(AQ192="1",BI192,0)</f>
        <v>0</v>
      </c>
      <c r="AD192" s="30">
        <f aca="true" t="shared" si="121" ref="AD192:AD197">IF(AQ192="7",BH192,0)</f>
        <v>0</v>
      </c>
      <c r="AE192" s="30">
        <f aca="true" t="shared" si="122" ref="AE192:AE197">IF(AQ192="7",BI192,0)</f>
        <v>0</v>
      </c>
      <c r="AF192" s="30">
        <f aca="true" t="shared" si="123" ref="AF192:AF197">IF(AQ192="2",BH192,0)</f>
        <v>0</v>
      </c>
      <c r="AG192" s="30">
        <f aca="true" t="shared" si="124" ref="AG192:AG197">IF(AQ192="2",BI192,0)</f>
        <v>0</v>
      </c>
      <c r="AH192" s="30">
        <f aca="true" t="shared" si="125" ref="AH192:AH197">IF(AQ192="0",BJ192,0)</f>
        <v>0</v>
      </c>
      <c r="AI192" s="10" t="s">
        <v>487</v>
      </c>
      <c r="AJ192" s="30">
        <f aca="true" t="shared" si="126" ref="AJ192:AJ197">IF(AN192=0,I192,0)</f>
        <v>0</v>
      </c>
      <c r="AK192" s="30">
        <f aca="true" t="shared" si="127" ref="AK192:AK197">IF(AN192=12,I192,0)</f>
        <v>0</v>
      </c>
      <c r="AL192" s="30">
        <f aca="true" t="shared" si="128" ref="AL192:AL197">IF(AN192=21,I192,0)</f>
        <v>0</v>
      </c>
      <c r="AN192" s="30">
        <v>21</v>
      </c>
      <c r="AO192" s="30">
        <f aca="true" t="shared" si="129" ref="AO192:AO197">H192*0</f>
        <v>0</v>
      </c>
      <c r="AP192" s="30">
        <f aca="true" t="shared" si="130" ref="AP192:AP197">H192*(1-0)</f>
        <v>0</v>
      </c>
      <c r="AQ192" s="33" t="s">
        <v>53</v>
      </c>
      <c r="AV192" s="30">
        <f aca="true" t="shared" si="131" ref="AV192:AV197">AW192+AX192</f>
        <v>0</v>
      </c>
      <c r="AW192" s="30">
        <f aca="true" t="shared" si="132" ref="AW192:AW197">G192*AO192</f>
        <v>0</v>
      </c>
      <c r="AX192" s="30">
        <f aca="true" t="shared" si="133" ref="AX192:AX197">G192*AP192</f>
        <v>0</v>
      </c>
      <c r="AY192" s="33" t="s">
        <v>494</v>
      </c>
      <c r="AZ192" s="33" t="s">
        <v>495</v>
      </c>
      <c r="BA192" s="10" t="s">
        <v>496</v>
      </c>
      <c r="BC192" s="30">
        <f aca="true" t="shared" si="134" ref="BC192:BC197">AW192+AX192</f>
        <v>0</v>
      </c>
      <c r="BD192" s="30">
        <f aca="true" t="shared" si="135" ref="BD192:BD197">H192/(100-BE192)*100</f>
        <v>0</v>
      </c>
      <c r="BE192" s="30">
        <v>0</v>
      </c>
      <c r="BF192" s="30">
        <f aca="true" t="shared" si="136" ref="BF192:BF197">K192</f>
        <v>0</v>
      </c>
      <c r="BH192" s="30">
        <f aca="true" t="shared" si="137" ref="BH192:BH197">G192*AO192</f>
        <v>0</v>
      </c>
      <c r="BI192" s="30">
        <f aca="true" t="shared" si="138" ref="BI192:BI197">G192*AP192</f>
        <v>0</v>
      </c>
      <c r="BJ192" s="30">
        <f aca="true" t="shared" si="139" ref="BJ192:BJ197">G192*H192</f>
        <v>0</v>
      </c>
      <c r="BK192" s="30"/>
      <c r="BL192" s="30"/>
      <c r="BW192" s="30">
        <v>21</v>
      </c>
      <c r="BX192" s="4" t="s">
        <v>493</v>
      </c>
    </row>
    <row r="193" spans="1:76" ht="25.5">
      <c r="A193" s="2" t="s">
        <v>497</v>
      </c>
      <c r="B193" s="3" t="s">
        <v>487</v>
      </c>
      <c r="C193" s="3" t="s">
        <v>498</v>
      </c>
      <c r="D193" s="116" t="s">
        <v>499</v>
      </c>
      <c r="E193" s="111"/>
      <c r="F193" s="3" t="s">
        <v>332</v>
      </c>
      <c r="G193" s="30">
        <v>1</v>
      </c>
      <c r="H193" s="31">
        <v>0</v>
      </c>
      <c r="I193" s="30">
        <f t="shared" si="116"/>
        <v>0</v>
      </c>
      <c r="J193" s="30">
        <v>0</v>
      </c>
      <c r="K193" s="32">
        <f t="shared" si="117"/>
        <v>0</v>
      </c>
      <c r="Z193" s="30">
        <f t="shared" si="118"/>
        <v>0</v>
      </c>
      <c r="AB193" s="30">
        <f t="shared" si="119"/>
        <v>0</v>
      </c>
      <c r="AC193" s="30">
        <f t="shared" si="120"/>
        <v>0</v>
      </c>
      <c r="AD193" s="30">
        <f t="shared" si="121"/>
        <v>0</v>
      </c>
      <c r="AE193" s="30">
        <f t="shared" si="122"/>
        <v>0</v>
      </c>
      <c r="AF193" s="30">
        <f t="shared" si="123"/>
        <v>0</v>
      </c>
      <c r="AG193" s="30">
        <f t="shared" si="124"/>
        <v>0</v>
      </c>
      <c r="AH193" s="30">
        <f t="shared" si="125"/>
        <v>0</v>
      </c>
      <c r="AI193" s="10" t="s">
        <v>487</v>
      </c>
      <c r="AJ193" s="30">
        <f t="shared" si="126"/>
        <v>0</v>
      </c>
      <c r="AK193" s="30">
        <f t="shared" si="127"/>
        <v>0</v>
      </c>
      <c r="AL193" s="30">
        <f t="shared" si="128"/>
        <v>0</v>
      </c>
      <c r="AN193" s="30">
        <v>21</v>
      </c>
      <c r="AO193" s="30">
        <f t="shared" si="129"/>
        <v>0</v>
      </c>
      <c r="AP193" s="30">
        <f t="shared" si="130"/>
        <v>0</v>
      </c>
      <c r="AQ193" s="33" t="s">
        <v>53</v>
      </c>
      <c r="AV193" s="30">
        <f t="shared" si="131"/>
        <v>0</v>
      </c>
      <c r="AW193" s="30">
        <f t="shared" si="132"/>
        <v>0</v>
      </c>
      <c r="AX193" s="30">
        <f t="shared" si="133"/>
        <v>0</v>
      </c>
      <c r="AY193" s="33" t="s">
        <v>494</v>
      </c>
      <c r="AZ193" s="33" t="s">
        <v>495</v>
      </c>
      <c r="BA193" s="10" t="s">
        <v>496</v>
      </c>
      <c r="BC193" s="30">
        <f t="shared" si="134"/>
        <v>0</v>
      </c>
      <c r="BD193" s="30">
        <f t="shared" si="135"/>
        <v>0</v>
      </c>
      <c r="BE193" s="30">
        <v>0</v>
      </c>
      <c r="BF193" s="30">
        <f t="shared" si="136"/>
        <v>0</v>
      </c>
      <c r="BH193" s="30">
        <f t="shared" si="137"/>
        <v>0</v>
      </c>
      <c r="BI193" s="30">
        <f t="shared" si="138"/>
        <v>0</v>
      </c>
      <c r="BJ193" s="30">
        <f t="shared" si="139"/>
        <v>0</v>
      </c>
      <c r="BK193" s="30"/>
      <c r="BL193" s="30"/>
      <c r="BW193" s="30">
        <v>21</v>
      </c>
      <c r="BX193" s="4" t="s">
        <v>499</v>
      </c>
    </row>
    <row r="194" spans="1:76" ht="25.5">
      <c r="A194" s="2" t="s">
        <v>500</v>
      </c>
      <c r="B194" s="3" t="s">
        <v>487</v>
      </c>
      <c r="C194" s="3" t="s">
        <v>501</v>
      </c>
      <c r="D194" s="116" t="s">
        <v>502</v>
      </c>
      <c r="E194" s="111"/>
      <c r="F194" s="3" t="s">
        <v>332</v>
      </c>
      <c r="G194" s="30">
        <v>1</v>
      </c>
      <c r="H194" s="31">
        <v>0</v>
      </c>
      <c r="I194" s="30">
        <f t="shared" si="116"/>
        <v>0</v>
      </c>
      <c r="J194" s="30">
        <v>0</v>
      </c>
      <c r="K194" s="32">
        <f t="shared" si="117"/>
        <v>0</v>
      </c>
      <c r="Z194" s="30">
        <f t="shared" si="118"/>
        <v>0</v>
      </c>
      <c r="AB194" s="30">
        <f t="shared" si="119"/>
        <v>0</v>
      </c>
      <c r="AC194" s="30">
        <f t="shared" si="120"/>
        <v>0</v>
      </c>
      <c r="AD194" s="30">
        <f t="shared" si="121"/>
        <v>0</v>
      </c>
      <c r="AE194" s="30">
        <f t="shared" si="122"/>
        <v>0</v>
      </c>
      <c r="AF194" s="30">
        <f t="shared" si="123"/>
        <v>0</v>
      </c>
      <c r="AG194" s="30">
        <f t="shared" si="124"/>
        <v>0</v>
      </c>
      <c r="AH194" s="30">
        <f t="shared" si="125"/>
        <v>0</v>
      </c>
      <c r="AI194" s="10" t="s">
        <v>487</v>
      </c>
      <c r="AJ194" s="30">
        <f t="shared" si="126"/>
        <v>0</v>
      </c>
      <c r="AK194" s="30">
        <f t="shared" si="127"/>
        <v>0</v>
      </c>
      <c r="AL194" s="30">
        <f t="shared" si="128"/>
        <v>0</v>
      </c>
      <c r="AN194" s="30">
        <v>21</v>
      </c>
      <c r="AO194" s="30">
        <f t="shared" si="129"/>
        <v>0</v>
      </c>
      <c r="AP194" s="30">
        <f t="shared" si="130"/>
        <v>0</v>
      </c>
      <c r="AQ194" s="33" t="s">
        <v>53</v>
      </c>
      <c r="AV194" s="30">
        <f t="shared" si="131"/>
        <v>0</v>
      </c>
      <c r="AW194" s="30">
        <f t="shared" si="132"/>
        <v>0</v>
      </c>
      <c r="AX194" s="30">
        <f t="shared" si="133"/>
        <v>0</v>
      </c>
      <c r="AY194" s="33" t="s">
        <v>494</v>
      </c>
      <c r="AZ194" s="33" t="s">
        <v>495</v>
      </c>
      <c r="BA194" s="10" t="s">
        <v>496</v>
      </c>
      <c r="BC194" s="30">
        <f t="shared" si="134"/>
        <v>0</v>
      </c>
      <c r="BD194" s="30">
        <f t="shared" si="135"/>
        <v>0</v>
      </c>
      <c r="BE194" s="30">
        <v>0</v>
      </c>
      <c r="BF194" s="30">
        <f t="shared" si="136"/>
        <v>0</v>
      </c>
      <c r="BH194" s="30">
        <f t="shared" si="137"/>
        <v>0</v>
      </c>
      <c r="BI194" s="30">
        <f t="shared" si="138"/>
        <v>0</v>
      </c>
      <c r="BJ194" s="30">
        <f t="shared" si="139"/>
        <v>0</v>
      </c>
      <c r="BK194" s="30"/>
      <c r="BL194" s="30"/>
      <c r="BW194" s="30">
        <v>21</v>
      </c>
      <c r="BX194" s="4" t="s">
        <v>502</v>
      </c>
    </row>
    <row r="195" spans="1:76" ht="15">
      <c r="A195" s="2" t="s">
        <v>503</v>
      </c>
      <c r="B195" s="3" t="s">
        <v>487</v>
      </c>
      <c r="C195" s="3" t="s">
        <v>504</v>
      </c>
      <c r="D195" s="116" t="s">
        <v>505</v>
      </c>
      <c r="E195" s="111"/>
      <c r="F195" s="3" t="s">
        <v>332</v>
      </c>
      <c r="G195" s="30">
        <v>1</v>
      </c>
      <c r="H195" s="31">
        <v>0</v>
      </c>
      <c r="I195" s="30">
        <f t="shared" si="116"/>
        <v>0</v>
      </c>
      <c r="J195" s="30">
        <v>0</v>
      </c>
      <c r="K195" s="32">
        <f t="shared" si="117"/>
        <v>0</v>
      </c>
      <c r="Z195" s="30">
        <f t="shared" si="118"/>
        <v>0</v>
      </c>
      <c r="AB195" s="30">
        <f t="shared" si="119"/>
        <v>0</v>
      </c>
      <c r="AC195" s="30">
        <f t="shared" si="120"/>
        <v>0</v>
      </c>
      <c r="AD195" s="30">
        <f t="shared" si="121"/>
        <v>0</v>
      </c>
      <c r="AE195" s="30">
        <f t="shared" si="122"/>
        <v>0</v>
      </c>
      <c r="AF195" s="30">
        <f t="shared" si="123"/>
        <v>0</v>
      </c>
      <c r="AG195" s="30">
        <f t="shared" si="124"/>
        <v>0</v>
      </c>
      <c r="AH195" s="30">
        <f t="shared" si="125"/>
        <v>0</v>
      </c>
      <c r="AI195" s="10" t="s">
        <v>487</v>
      </c>
      <c r="AJ195" s="30">
        <f t="shared" si="126"/>
        <v>0</v>
      </c>
      <c r="AK195" s="30">
        <f t="shared" si="127"/>
        <v>0</v>
      </c>
      <c r="AL195" s="30">
        <f t="shared" si="128"/>
        <v>0</v>
      </c>
      <c r="AN195" s="30">
        <v>21</v>
      </c>
      <c r="AO195" s="30">
        <f t="shared" si="129"/>
        <v>0</v>
      </c>
      <c r="AP195" s="30">
        <f t="shared" si="130"/>
        <v>0</v>
      </c>
      <c r="AQ195" s="33" t="s">
        <v>53</v>
      </c>
      <c r="AV195" s="30">
        <f t="shared" si="131"/>
        <v>0</v>
      </c>
      <c r="AW195" s="30">
        <f t="shared" si="132"/>
        <v>0</v>
      </c>
      <c r="AX195" s="30">
        <f t="shared" si="133"/>
        <v>0</v>
      </c>
      <c r="AY195" s="33" t="s">
        <v>494</v>
      </c>
      <c r="AZ195" s="33" t="s">
        <v>495</v>
      </c>
      <c r="BA195" s="10" t="s">
        <v>496</v>
      </c>
      <c r="BC195" s="30">
        <f t="shared" si="134"/>
        <v>0</v>
      </c>
      <c r="BD195" s="30">
        <f t="shared" si="135"/>
        <v>0</v>
      </c>
      <c r="BE195" s="30">
        <v>0</v>
      </c>
      <c r="BF195" s="30">
        <f t="shared" si="136"/>
        <v>0</v>
      </c>
      <c r="BH195" s="30">
        <f t="shared" si="137"/>
        <v>0</v>
      </c>
      <c r="BI195" s="30">
        <f t="shared" si="138"/>
        <v>0</v>
      </c>
      <c r="BJ195" s="30">
        <f t="shared" si="139"/>
        <v>0</v>
      </c>
      <c r="BK195" s="30"/>
      <c r="BL195" s="30"/>
      <c r="BW195" s="30">
        <v>21</v>
      </c>
      <c r="BX195" s="4" t="s">
        <v>505</v>
      </c>
    </row>
    <row r="196" spans="1:76" ht="15">
      <c r="A196" s="2" t="s">
        <v>506</v>
      </c>
      <c r="B196" s="3" t="s">
        <v>487</v>
      </c>
      <c r="C196" s="3" t="s">
        <v>507</v>
      </c>
      <c r="D196" s="116" t="s">
        <v>508</v>
      </c>
      <c r="E196" s="111"/>
      <c r="F196" s="3" t="s">
        <v>285</v>
      </c>
      <c r="G196" s="30">
        <v>1</v>
      </c>
      <c r="H196" s="31">
        <v>0</v>
      </c>
      <c r="I196" s="30">
        <f t="shared" si="116"/>
        <v>0</v>
      </c>
      <c r="J196" s="30">
        <v>0</v>
      </c>
      <c r="K196" s="32">
        <f t="shared" si="117"/>
        <v>0</v>
      </c>
      <c r="Z196" s="30">
        <f t="shared" si="118"/>
        <v>0</v>
      </c>
      <c r="AB196" s="30">
        <f t="shared" si="119"/>
        <v>0</v>
      </c>
      <c r="AC196" s="30">
        <f t="shared" si="120"/>
        <v>0</v>
      </c>
      <c r="AD196" s="30">
        <f t="shared" si="121"/>
        <v>0</v>
      </c>
      <c r="AE196" s="30">
        <f t="shared" si="122"/>
        <v>0</v>
      </c>
      <c r="AF196" s="30">
        <f t="shared" si="123"/>
        <v>0</v>
      </c>
      <c r="AG196" s="30">
        <f t="shared" si="124"/>
        <v>0</v>
      </c>
      <c r="AH196" s="30">
        <f t="shared" si="125"/>
        <v>0</v>
      </c>
      <c r="AI196" s="10" t="s">
        <v>487</v>
      </c>
      <c r="AJ196" s="30">
        <f t="shared" si="126"/>
        <v>0</v>
      </c>
      <c r="AK196" s="30">
        <f t="shared" si="127"/>
        <v>0</v>
      </c>
      <c r="AL196" s="30">
        <f t="shared" si="128"/>
        <v>0</v>
      </c>
      <c r="AN196" s="30">
        <v>21</v>
      </c>
      <c r="AO196" s="30">
        <f t="shared" si="129"/>
        <v>0</v>
      </c>
      <c r="AP196" s="30">
        <f t="shared" si="130"/>
        <v>0</v>
      </c>
      <c r="AQ196" s="33" t="s">
        <v>53</v>
      </c>
      <c r="AV196" s="30">
        <f t="shared" si="131"/>
        <v>0</v>
      </c>
      <c r="AW196" s="30">
        <f t="shared" si="132"/>
        <v>0</v>
      </c>
      <c r="AX196" s="30">
        <f t="shared" si="133"/>
        <v>0</v>
      </c>
      <c r="AY196" s="33" t="s">
        <v>494</v>
      </c>
      <c r="AZ196" s="33" t="s">
        <v>495</v>
      </c>
      <c r="BA196" s="10" t="s">
        <v>496</v>
      </c>
      <c r="BC196" s="30">
        <f t="shared" si="134"/>
        <v>0</v>
      </c>
      <c r="BD196" s="30">
        <f t="shared" si="135"/>
        <v>0</v>
      </c>
      <c r="BE196" s="30">
        <v>0</v>
      </c>
      <c r="BF196" s="30">
        <f t="shared" si="136"/>
        <v>0</v>
      </c>
      <c r="BH196" s="30">
        <f t="shared" si="137"/>
        <v>0</v>
      </c>
      <c r="BI196" s="30">
        <f t="shared" si="138"/>
        <v>0</v>
      </c>
      <c r="BJ196" s="30">
        <f t="shared" si="139"/>
        <v>0</v>
      </c>
      <c r="BK196" s="30"/>
      <c r="BL196" s="30"/>
      <c r="BW196" s="30">
        <v>21</v>
      </c>
      <c r="BX196" s="4" t="s">
        <v>508</v>
      </c>
    </row>
    <row r="197" spans="1:76" ht="15">
      <c r="A197" s="2" t="s">
        <v>509</v>
      </c>
      <c r="B197" s="3" t="s">
        <v>487</v>
      </c>
      <c r="C197" s="3" t="s">
        <v>510</v>
      </c>
      <c r="D197" s="116" t="s">
        <v>511</v>
      </c>
      <c r="E197" s="111"/>
      <c r="F197" s="3" t="s">
        <v>332</v>
      </c>
      <c r="G197" s="30">
        <v>1</v>
      </c>
      <c r="H197" s="31">
        <v>0</v>
      </c>
      <c r="I197" s="30">
        <f t="shared" si="116"/>
        <v>0</v>
      </c>
      <c r="J197" s="30">
        <v>0</v>
      </c>
      <c r="K197" s="32">
        <f t="shared" si="117"/>
        <v>0</v>
      </c>
      <c r="Z197" s="30">
        <f t="shared" si="118"/>
        <v>0</v>
      </c>
      <c r="AB197" s="30">
        <f t="shared" si="119"/>
        <v>0</v>
      </c>
      <c r="AC197" s="30">
        <f t="shared" si="120"/>
        <v>0</v>
      </c>
      <c r="AD197" s="30">
        <f t="shared" si="121"/>
        <v>0</v>
      </c>
      <c r="AE197" s="30">
        <f t="shared" si="122"/>
        <v>0</v>
      </c>
      <c r="AF197" s="30">
        <f t="shared" si="123"/>
        <v>0</v>
      </c>
      <c r="AG197" s="30">
        <f t="shared" si="124"/>
        <v>0</v>
      </c>
      <c r="AH197" s="30">
        <f t="shared" si="125"/>
        <v>0</v>
      </c>
      <c r="AI197" s="10" t="s">
        <v>487</v>
      </c>
      <c r="AJ197" s="30">
        <f t="shared" si="126"/>
        <v>0</v>
      </c>
      <c r="AK197" s="30">
        <f t="shared" si="127"/>
        <v>0</v>
      </c>
      <c r="AL197" s="30">
        <f t="shared" si="128"/>
        <v>0</v>
      </c>
      <c r="AN197" s="30">
        <v>21</v>
      </c>
      <c r="AO197" s="30">
        <f t="shared" si="129"/>
        <v>0</v>
      </c>
      <c r="AP197" s="30">
        <f t="shared" si="130"/>
        <v>0</v>
      </c>
      <c r="AQ197" s="33" t="s">
        <v>53</v>
      </c>
      <c r="AV197" s="30">
        <f t="shared" si="131"/>
        <v>0</v>
      </c>
      <c r="AW197" s="30">
        <f t="shared" si="132"/>
        <v>0</v>
      </c>
      <c r="AX197" s="30">
        <f t="shared" si="133"/>
        <v>0</v>
      </c>
      <c r="AY197" s="33" t="s">
        <v>494</v>
      </c>
      <c r="AZ197" s="33" t="s">
        <v>495</v>
      </c>
      <c r="BA197" s="10" t="s">
        <v>496</v>
      </c>
      <c r="BC197" s="30">
        <f t="shared" si="134"/>
        <v>0</v>
      </c>
      <c r="BD197" s="30">
        <f t="shared" si="135"/>
        <v>0</v>
      </c>
      <c r="BE197" s="30">
        <v>0</v>
      </c>
      <c r="BF197" s="30">
        <f t="shared" si="136"/>
        <v>0</v>
      </c>
      <c r="BH197" s="30">
        <f t="shared" si="137"/>
        <v>0</v>
      </c>
      <c r="BI197" s="30">
        <f t="shared" si="138"/>
        <v>0</v>
      </c>
      <c r="BJ197" s="30">
        <f t="shared" si="139"/>
        <v>0</v>
      </c>
      <c r="BK197" s="30"/>
      <c r="BL197" s="30"/>
      <c r="BW197" s="30">
        <v>21</v>
      </c>
      <c r="BX197" s="4" t="s">
        <v>511</v>
      </c>
    </row>
    <row r="198" spans="1:47" ht="15">
      <c r="A198" s="25" t="s">
        <v>48</v>
      </c>
      <c r="B198" s="26" t="s">
        <v>487</v>
      </c>
      <c r="C198" s="26" t="s">
        <v>512</v>
      </c>
      <c r="D198" s="135" t="s">
        <v>513</v>
      </c>
      <c r="E198" s="136"/>
      <c r="F198" s="27" t="s">
        <v>4</v>
      </c>
      <c r="G198" s="27" t="s">
        <v>4</v>
      </c>
      <c r="H198" s="28" t="s">
        <v>4</v>
      </c>
      <c r="I198" s="1">
        <f>SUM(I199:I210)</f>
        <v>0</v>
      </c>
      <c r="J198" s="10" t="s">
        <v>48</v>
      </c>
      <c r="K198" s="29">
        <f>SUM(K199:K210)</f>
        <v>0</v>
      </c>
      <c r="AI198" s="10" t="s">
        <v>487</v>
      </c>
      <c r="AS198" s="1">
        <f>SUM(AJ199:AJ210)</f>
        <v>0</v>
      </c>
      <c r="AT198" s="1">
        <f>SUM(AK199:AK210)</f>
        <v>0</v>
      </c>
      <c r="AU198" s="1">
        <f>SUM(AL199:AL210)</f>
        <v>0</v>
      </c>
    </row>
    <row r="199" spans="1:76" ht="15">
      <c r="A199" s="2" t="s">
        <v>514</v>
      </c>
      <c r="B199" s="3" t="s">
        <v>487</v>
      </c>
      <c r="C199" s="3" t="s">
        <v>515</v>
      </c>
      <c r="D199" s="116" t="s">
        <v>516</v>
      </c>
      <c r="E199" s="111"/>
      <c r="F199" s="3" t="s">
        <v>332</v>
      </c>
      <c r="G199" s="30">
        <v>1</v>
      </c>
      <c r="H199" s="31">
        <v>0</v>
      </c>
      <c r="I199" s="30">
        <f aca="true" t="shared" si="140" ref="I199:I204">G199*H199</f>
        <v>0</v>
      </c>
      <c r="J199" s="30">
        <v>0</v>
      </c>
      <c r="K199" s="32">
        <f aca="true" t="shared" si="141" ref="K199:K204">G199*J199</f>
        <v>0</v>
      </c>
      <c r="Z199" s="30">
        <f aca="true" t="shared" si="142" ref="Z199:Z204">IF(AQ199="5",BJ199,0)</f>
        <v>0</v>
      </c>
      <c r="AB199" s="30">
        <f aca="true" t="shared" si="143" ref="AB199:AB204">IF(AQ199="1",BH199,0)</f>
        <v>0</v>
      </c>
      <c r="AC199" s="30">
        <f aca="true" t="shared" si="144" ref="AC199:AC204">IF(AQ199="1",BI199,0)</f>
        <v>0</v>
      </c>
      <c r="AD199" s="30">
        <f aca="true" t="shared" si="145" ref="AD199:AD204">IF(AQ199="7",BH199,0)</f>
        <v>0</v>
      </c>
      <c r="AE199" s="30">
        <f aca="true" t="shared" si="146" ref="AE199:AE204">IF(AQ199="7",BI199,0)</f>
        <v>0</v>
      </c>
      <c r="AF199" s="30">
        <f aca="true" t="shared" si="147" ref="AF199:AF204">IF(AQ199="2",BH199,0)</f>
        <v>0</v>
      </c>
      <c r="AG199" s="30">
        <f aca="true" t="shared" si="148" ref="AG199:AG204">IF(AQ199="2",BI199,0)</f>
        <v>0</v>
      </c>
      <c r="AH199" s="30">
        <f aca="true" t="shared" si="149" ref="AH199:AH204">IF(AQ199="0",BJ199,0)</f>
        <v>0</v>
      </c>
      <c r="AI199" s="10" t="s">
        <v>487</v>
      </c>
      <c r="AJ199" s="30">
        <f aca="true" t="shared" si="150" ref="AJ199:AJ204">IF(AN199=0,I199,0)</f>
        <v>0</v>
      </c>
      <c r="AK199" s="30">
        <f aca="true" t="shared" si="151" ref="AK199:AK204">IF(AN199=12,I199,0)</f>
        <v>0</v>
      </c>
      <c r="AL199" s="30">
        <f aca="true" t="shared" si="152" ref="AL199:AL204">IF(AN199=21,I199,0)</f>
        <v>0</v>
      </c>
      <c r="AN199" s="30">
        <v>21</v>
      </c>
      <c r="AO199" s="30">
        <f aca="true" t="shared" si="153" ref="AO199:AO204">H199*0</f>
        <v>0</v>
      </c>
      <c r="AP199" s="30">
        <f aca="true" t="shared" si="154" ref="AP199:AP204">H199*(1-0)</f>
        <v>0</v>
      </c>
      <c r="AQ199" s="33" t="s">
        <v>53</v>
      </c>
      <c r="AV199" s="30">
        <f aca="true" t="shared" si="155" ref="AV199:AV204">AW199+AX199</f>
        <v>0</v>
      </c>
      <c r="AW199" s="30">
        <f aca="true" t="shared" si="156" ref="AW199:AW204">G199*AO199</f>
        <v>0</v>
      </c>
      <c r="AX199" s="30">
        <f aca="true" t="shared" si="157" ref="AX199:AX204">G199*AP199</f>
        <v>0</v>
      </c>
      <c r="AY199" s="33" t="s">
        <v>517</v>
      </c>
      <c r="AZ199" s="33" t="s">
        <v>495</v>
      </c>
      <c r="BA199" s="10" t="s">
        <v>496</v>
      </c>
      <c r="BC199" s="30">
        <f aca="true" t="shared" si="158" ref="BC199:BC204">AW199+AX199</f>
        <v>0</v>
      </c>
      <c r="BD199" s="30">
        <f aca="true" t="shared" si="159" ref="BD199:BD204">H199/(100-BE199)*100</f>
        <v>0</v>
      </c>
      <c r="BE199" s="30">
        <v>0</v>
      </c>
      <c r="BF199" s="30">
        <f aca="true" t="shared" si="160" ref="BF199:BF204">K199</f>
        <v>0</v>
      </c>
      <c r="BH199" s="30">
        <f aca="true" t="shared" si="161" ref="BH199:BH204">G199*AO199</f>
        <v>0</v>
      </c>
      <c r="BI199" s="30">
        <f aca="true" t="shared" si="162" ref="BI199:BI204">G199*AP199</f>
        <v>0</v>
      </c>
      <c r="BJ199" s="30">
        <f aca="true" t="shared" si="163" ref="BJ199:BJ204">G199*H199</f>
        <v>0</v>
      </c>
      <c r="BK199" s="30"/>
      <c r="BL199" s="30"/>
      <c r="BW199" s="30">
        <v>21</v>
      </c>
      <c r="BX199" s="4" t="s">
        <v>516</v>
      </c>
    </row>
    <row r="200" spans="1:76" ht="15">
      <c r="A200" s="2" t="s">
        <v>518</v>
      </c>
      <c r="B200" s="3" t="s">
        <v>487</v>
      </c>
      <c r="C200" s="3" t="s">
        <v>519</v>
      </c>
      <c r="D200" s="116" t="s">
        <v>520</v>
      </c>
      <c r="E200" s="111"/>
      <c r="F200" s="3" t="s">
        <v>332</v>
      </c>
      <c r="G200" s="30">
        <v>1</v>
      </c>
      <c r="H200" s="31">
        <v>0</v>
      </c>
      <c r="I200" s="30">
        <f t="shared" si="140"/>
        <v>0</v>
      </c>
      <c r="J200" s="30">
        <v>0</v>
      </c>
      <c r="K200" s="32">
        <f t="shared" si="141"/>
        <v>0</v>
      </c>
      <c r="Z200" s="30">
        <f t="shared" si="142"/>
        <v>0</v>
      </c>
      <c r="AB200" s="30">
        <f t="shared" si="143"/>
        <v>0</v>
      </c>
      <c r="AC200" s="30">
        <f t="shared" si="144"/>
        <v>0</v>
      </c>
      <c r="AD200" s="30">
        <f t="shared" si="145"/>
        <v>0</v>
      </c>
      <c r="AE200" s="30">
        <f t="shared" si="146"/>
        <v>0</v>
      </c>
      <c r="AF200" s="30">
        <f t="shared" si="147"/>
        <v>0</v>
      </c>
      <c r="AG200" s="30">
        <f t="shared" si="148"/>
        <v>0</v>
      </c>
      <c r="AH200" s="30">
        <f t="shared" si="149"/>
        <v>0</v>
      </c>
      <c r="AI200" s="10" t="s">
        <v>487</v>
      </c>
      <c r="AJ200" s="30">
        <f t="shared" si="150"/>
        <v>0</v>
      </c>
      <c r="AK200" s="30">
        <f t="shared" si="151"/>
        <v>0</v>
      </c>
      <c r="AL200" s="30">
        <f t="shared" si="152"/>
        <v>0</v>
      </c>
      <c r="AN200" s="30">
        <v>21</v>
      </c>
      <c r="AO200" s="30">
        <f t="shared" si="153"/>
        <v>0</v>
      </c>
      <c r="AP200" s="30">
        <f t="shared" si="154"/>
        <v>0</v>
      </c>
      <c r="AQ200" s="33" t="s">
        <v>53</v>
      </c>
      <c r="AV200" s="30">
        <f t="shared" si="155"/>
        <v>0</v>
      </c>
      <c r="AW200" s="30">
        <f t="shared" si="156"/>
        <v>0</v>
      </c>
      <c r="AX200" s="30">
        <f t="shared" si="157"/>
        <v>0</v>
      </c>
      <c r="AY200" s="33" t="s">
        <v>517</v>
      </c>
      <c r="AZ200" s="33" t="s">
        <v>495</v>
      </c>
      <c r="BA200" s="10" t="s">
        <v>496</v>
      </c>
      <c r="BC200" s="30">
        <f t="shared" si="158"/>
        <v>0</v>
      </c>
      <c r="BD200" s="30">
        <f t="shared" si="159"/>
        <v>0</v>
      </c>
      <c r="BE200" s="30">
        <v>0</v>
      </c>
      <c r="BF200" s="30">
        <f t="shared" si="160"/>
        <v>0</v>
      </c>
      <c r="BH200" s="30">
        <f t="shared" si="161"/>
        <v>0</v>
      </c>
      <c r="BI200" s="30">
        <f t="shared" si="162"/>
        <v>0</v>
      </c>
      <c r="BJ200" s="30">
        <f t="shared" si="163"/>
        <v>0</v>
      </c>
      <c r="BK200" s="30"/>
      <c r="BL200" s="30"/>
      <c r="BW200" s="30">
        <v>21</v>
      </c>
      <c r="BX200" s="4" t="s">
        <v>520</v>
      </c>
    </row>
    <row r="201" spans="1:76" ht="15">
      <c r="A201" s="2" t="s">
        <v>521</v>
      </c>
      <c r="B201" s="3" t="s">
        <v>487</v>
      </c>
      <c r="C201" s="3" t="s">
        <v>522</v>
      </c>
      <c r="D201" s="116" t="s">
        <v>523</v>
      </c>
      <c r="E201" s="111"/>
      <c r="F201" s="3" t="s">
        <v>332</v>
      </c>
      <c r="G201" s="30">
        <v>1</v>
      </c>
      <c r="H201" s="31">
        <v>0</v>
      </c>
      <c r="I201" s="30">
        <f t="shared" si="140"/>
        <v>0</v>
      </c>
      <c r="J201" s="30">
        <v>0</v>
      </c>
      <c r="K201" s="32">
        <f t="shared" si="141"/>
        <v>0</v>
      </c>
      <c r="Z201" s="30">
        <f t="shared" si="142"/>
        <v>0</v>
      </c>
      <c r="AB201" s="30">
        <f t="shared" si="143"/>
        <v>0</v>
      </c>
      <c r="AC201" s="30">
        <f t="shared" si="144"/>
        <v>0</v>
      </c>
      <c r="AD201" s="30">
        <f t="shared" si="145"/>
        <v>0</v>
      </c>
      <c r="AE201" s="30">
        <f t="shared" si="146"/>
        <v>0</v>
      </c>
      <c r="AF201" s="30">
        <f t="shared" si="147"/>
        <v>0</v>
      </c>
      <c r="AG201" s="30">
        <f t="shared" si="148"/>
        <v>0</v>
      </c>
      <c r="AH201" s="30">
        <f t="shared" si="149"/>
        <v>0</v>
      </c>
      <c r="AI201" s="10" t="s">
        <v>487</v>
      </c>
      <c r="AJ201" s="30">
        <f t="shared" si="150"/>
        <v>0</v>
      </c>
      <c r="AK201" s="30">
        <f t="shared" si="151"/>
        <v>0</v>
      </c>
      <c r="AL201" s="30">
        <f t="shared" si="152"/>
        <v>0</v>
      </c>
      <c r="AN201" s="30">
        <v>21</v>
      </c>
      <c r="AO201" s="30">
        <f t="shared" si="153"/>
        <v>0</v>
      </c>
      <c r="AP201" s="30">
        <f t="shared" si="154"/>
        <v>0</v>
      </c>
      <c r="AQ201" s="33" t="s">
        <v>53</v>
      </c>
      <c r="AV201" s="30">
        <f t="shared" si="155"/>
        <v>0</v>
      </c>
      <c r="AW201" s="30">
        <f t="shared" si="156"/>
        <v>0</v>
      </c>
      <c r="AX201" s="30">
        <f t="shared" si="157"/>
        <v>0</v>
      </c>
      <c r="AY201" s="33" t="s">
        <v>517</v>
      </c>
      <c r="AZ201" s="33" t="s">
        <v>495</v>
      </c>
      <c r="BA201" s="10" t="s">
        <v>496</v>
      </c>
      <c r="BC201" s="30">
        <f t="shared" si="158"/>
        <v>0</v>
      </c>
      <c r="BD201" s="30">
        <f t="shared" si="159"/>
        <v>0</v>
      </c>
      <c r="BE201" s="30">
        <v>0</v>
      </c>
      <c r="BF201" s="30">
        <f t="shared" si="160"/>
        <v>0</v>
      </c>
      <c r="BH201" s="30">
        <f t="shared" si="161"/>
        <v>0</v>
      </c>
      <c r="BI201" s="30">
        <f t="shared" si="162"/>
        <v>0</v>
      </c>
      <c r="BJ201" s="30">
        <f t="shared" si="163"/>
        <v>0</v>
      </c>
      <c r="BK201" s="30"/>
      <c r="BL201" s="30"/>
      <c r="BW201" s="30">
        <v>21</v>
      </c>
      <c r="BX201" s="4" t="s">
        <v>523</v>
      </c>
    </row>
    <row r="202" spans="1:76" ht="25.5">
      <c r="A202" s="2" t="s">
        <v>524</v>
      </c>
      <c r="B202" s="3" t="s">
        <v>487</v>
      </c>
      <c r="C202" s="3" t="s">
        <v>525</v>
      </c>
      <c r="D202" s="116" t="s">
        <v>526</v>
      </c>
      <c r="E202" s="111"/>
      <c r="F202" s="3" t="s">
        <v>332</v>
      </c>
      <c r="G202" s="30">
        <v>1</v>
      </c>
      <c r="H202" s="31">
        <v>0</v>
      </c>
      <c r="I202" s="30">
        <f t="shared" si="140"/>
        <v>0</v>
      </c>
      <c r="J202" s="30">
        <v>0</v>
      </c>
      <c r="K202" s="32">
        <f t="shared" si="141"/>
        <v>0</v>
      </c>
      <c r="Z202" s="30">
        <f t="shared" si="142"/>
        <v>0</v>
      </c>
      <c r="AB202" s="30">
        <f t="shared" si="143"/>
        <v>0</v>
      </c>
      <c r="AC202" s="30">
        <f t="shared" si="144"/>
        <v>0</v>
      </c>
      <c r="AD202" s="30">
        <f t="shared" si="145"/>
        <v>0</v>
      </c>
      <c r="AE202" s="30">
        <f t="shared" si="146"/>
        <v>0</v>
      </c>
      <c r="AF202" s="30">
        <f t="shared" si="147"/>
        <v>0</v>
      </c>
      <c r="AG202" s="30">
        <f t="shared" si="148"/>
        <v>0</v>
      </c>
      <c r="AH202" s="30">
        <f t="shared" si="149"/>
        <v>0</v>
      </c>
      <c r="AI202" s="10" t="s">
        <v>487</v>
      </c>
      <c r="AJ202" s="30">
        <f t="shared" si="150"/>
        <v>0</v>
      </c>
      <c r="AK202" s="30">
        <f t="shared" si="151"/>
        <v>0</v>
      </c>
      <c r="AL202" s="30">
        <f t="shared" si="152"/>
        <v>0</v>
      </c>
      <c r="AN202" s="30">
        <v>21</v>
      </c>
      <c r="AO202" s="30">
        <f t="shared" si="153"/>
        <v>0</v>
      </c>
      <c r="AP202" s="30">
        <f t="shared" si="154"/>
        <v>0</v>
      </c>
      <c r="AQ202" s="33" t="s">
        <v>53</v>
      </c>
      <c r="AV202" s="30">
        <f t="shared" si="155"/>
        <v>0</v>
      </c>
      <c r="AW202" s="30">
        <f t="shared" si="156"/>
        <v>0</v>
      </c>
      <c r="AX202" s="30">
        <f t="shared" si="157"/>
        <v>0</v>
      </c>
      <c r="AY202" s="33" t="s">
        <v>517</v>
      </c>
      <c r="AZ202" s="33" t="s">
        <v>495</v>
      </c>
      <c r="BA202" s="10" t="s">
        <v>496</v>
      </c>
      <c r="BC202" s="30">
        <f t="shared" si="158"/>
        <v>0</v>
      </c>
      <c r="BD202" s="30">
        <f t="shared" si="159"/>
        <v>0</v>
      </c>
      <c r="BE202" s="30">
        <v>0</v>
      </c>
      <c r="BF202" s="30">
        <f t="shared" si="160"/>
        <v>0</v>
      </c>
      <c r="BH202" s="30">
        <f t="shared" si="161"/>
        <v>0</v>
      </c>
      <c r="BI202" s="30">
        <f t="shared" si="162"/>
        <v>0</v>
      </c>
      <c r="BJ202" s="30">
        <f t="shared" si="163"/>
        <v>0</v>
      </c>
      <c r="BK202" s="30"/>
      <c r="BL202" s="30"/>
      <c r="BW202" s="30">
        <v>21</v>
      </c>
      <c r="BX202" s="4" t="s">
        <v>526</v>
      </c>
    </row>
    <row r="203" spans="1:76" ht="15">
      <c r="A203" s="2" t="s">
        <v>527</v>
      </c>
      <c r="B203" s="3" t="s">
        <v>487</v>
      </c>
      <c r="C203" s="3" t="s">
        <v>528</v>
      </c>
      <c r="D203" s="116" t="s">
        <v>529</v>
      </c>
      <c r="E203" s="111"/>
      <c r="F203" s="3" t="s">
        <v>332</v>
      </c>
      <c r="G203" s="30">
        <v>1</v>
      </c>
      <c r="H203" s="31">
        <v>0</v>
      </c>
      <c r="I203" s="30">
        <f t="shared" si="140"/>
        <v>0</v>
      </c>
      <c r="J203" s="30">
        <v>0</v>
      </c>
      <c r="K203" s="32">
        <f t="shared" si="141"/>
        <v>0</v>
      </c>
      <c r="Z203" s="30">
        <f t="shared" si="142"/>
        <v>0</v>
      </c>
      <c r="AB203" s="30">
        <f t="shared" si="143"/>
        <v>0</v>
      </c>
      <c r="AC203" s="30">
        <f t="shared" si="144"/>
        <v>0</v>
      </c>
      <c r="AD203" s="30">
        <f t="shared" si="145"/>
        <v>0</v>
      </c>
      <c r="AE203" s="30">
        <f t="shared" si="146"/>
        <v>0</v>
      </c>
      <c r="AF203" s="30">
        <f t="shared" si="147"/>
        <v>0</v>
      </c>
      <c r="AG203" s="30">
        <f t="shared" si="148"/>
        <v>0</v>
      </c>
      <c r="AH203" s="30">
        <f t="shared" si="149"/>
        <v>0</v>
      </c>
      <c r="AI203" s="10" t="s">
        <v>487</v>
      </c>
      <c r="AJ203" s="30">
        <f t="shared" si="150"/>
        <v>0</v>
      </c>
      <c r="AK203" s="30">
        <f t="shared" si="151"/>
        <v>0</v>
      </c>
      <c r="AL203" s="30">
        <f t="shared" si="152"/>
        <v>0</v>
      </c>
      <c r="AN203" s="30">
        <v>21</v>
      </c>
      <c r="AO203" s="30">
        <f t="shared" si="153"/>
        <v>0</v>
      </c>
      <c r="AP203" s="30">
        <f t="shared" si="154"/>
        <v>0</v>
      </c>
      <c r="AQ203" s="33" t="s">
        <v>53</v>
      </c>
      <c r="AV203" s="30">
        <f t="shared" si="155"/>
        <v>0</v>
      </c>
      <c r="AW203" s="30">
        <f t="shared" si="156"/>
        <v>0</v>
      </c>
      <c r="AX203" s="30">
        <f t="shared" si="157"/>
        <v>0</v>
      </c>
      <c r="AY203" s="33" t="s">
        <v>517</v>
      </c>
      <c r="AZ203" s="33" t="s">
        <v>495</v>
      </c>
      <c r="BA203" s="10" t="s">
        <v>496</v>
      </c>
      <c r="BC203" s="30">
        <f t="shared" si="158"/>
        <v>0</v>
      </c>
      <c r="BD203" s="30">
        <f t="shared" si="159"/>
        <v>0</v>
      </c>
      <c r="BE203" s="30">
        <v>0</v>
      </c>
      <c r="BF203" s="30">
        <f t="shared" si="160"/>
        <v>0</v>
      </c>
      <c r="BH203" s="30">
        <f t="shared" si="161"/>
        <v>0</v>
      </c>
      <c r="BI203" s="30">
        <f t="shared" si="162"/>
        <v>0</v>
      </c>
      <c r="BJ203" s="30">
        <f t="shared" si="163"/>
        <v>0</v>
      </c>
      <c r="BK203" s="30"/>
      <c r="BL203" s="30"/>
      <c r="BW203" s="30">
        <v>21</v>
      </c>
      <c r="BX203" s="4" t="s">
        <v>529</v>
      </c>
    </row>
    <row r="204" spans="1:76" ht="15">
      <c r="A204" s="2" t="s">
        <v>530</v>
      </c>
      <c r="B204" s="3" t="s">
        <v>487</v>
      </c>
      <c r="C204" s="3" t="s">
        <v>531</v>
      </c>
      <c r="D204" s="116" t="s">
        <v>532</v>
      </c>
      <c r="E204" s="111"/>
      <c r="F204" s="3" t="s">
        <v>332</v>
      </c>
      <c r="G204" s="30">
        <v>1</v>
      </c>
      <c r="H204" s="31">
        <v>0</v>
      </c>
      <c r="I204" s="30">
        <f t="shared" si="140"/>
        <v>0</v>
      </c>
      <c r="J204" s="30">
        <v>0</v>
      </c>
      <c r="K204" s="32">
        <f t="shared" si="141"/>
        <v>0</v>
      </c>
      <c r="Z204" s="30">
        <f t="shared" si="142"/>
        <v>0</v>
      </c>
      <c r="AB204" s="30">
        <f t="shared" si="143"/>
        <v>0</v>
      </c>
      <c r="AC204" s="30">
        <f t="shared" si="144"/>
        <v>0</v>
      </c>
      <c r="AD204" s="30">
        <f t="shared" si="145"/>
        <v>0</v>
      </c>
      <c r="AE204" s="30">
        <f t="shared" si="146"/>
        <v>0</v>
      </c>
      <c r="AF204" s="30">
        <f t="shared" si="147"/>
        <v>0</v>
      </c>
      <c r="AG204" s="30">
        <f t="shared" si="148"/>
        <v>0</v>
      </c>
      <c r="AH204" s="30">
        <f t="shared" si="149"/>
        <v>0</v>
      </c>
      <c r="AI204" s="10" t="s">
        <v>487</v>
      </c>
      <c r="AJ204" s="30">
        <f t="shared" si="150"/>
        <v>0</v>
      </c>
      <c r="AK204" s="30">
        <f t="shared" si="151"/>
        <v>0</v>
      </c>
      <c r="AL204" s="30">
        <f t="shared" si="152"/>
        <v>0</v>
      </c>
      <c r="AN204" s="30">
        <v>21</v>
      </c>
      <c r="AO204" s="30">
        <f t="shared" si="153"/>
        <v>0</v>
      </c>
      <c r="AP204" s="30">
        <f t="shared" si="154"/>
        <v>0</v>
      </c>
      <c r="AQ204" s="33" t="s">
        <v>53</v>
      </c>
      <c r="AV204" s="30">
        <f t="shared" si="155"/>
        <v>0</v>
      </c>
      <c r="AW204" s="30">
        <f t="shared" si="156"/>
        <v>0</v>
      </c>
      <c r="AX204" s="30">
        <f t="shared" si="157"/>
        <v>0</v>
      </c>
      <c r="AY204" s="33" t="s">
        <v>517</v>
      </c>
      <c r="AZ204" s="33" t="s">
        <v>495</v>
      </c>
      <c r="BA204" s="10" t="s">
        <v>496</v>
      </c>
      <c r="BC204" s="30">
        <f t="shared" si="158"/>
        <v>0</v>
      </c>
      <c r="BD204" s="30">
        <f t="shared" si="159"/>
        <v>0</v>
      </c>
      <c r="BE204" s="30">
        <v>0</v>
      </c>
      <c r="BF204" s="30">
        <f t="shared" si="160"/>
        <v>0</v>
      </c>
      <c r="BH204" s="30">
        <f t="shared" si="161"/>
        <v>0</v>
      </c>
      <c r="BI204" s="30">
        <f t="shared" si="162"/>
        <v>0</v>
      </c>
      <c r="BJ204" s="30">
        <f t="shared" si="163"/>
        <v>0</v>
      </c>
      <c r="BK204" s="30"/>
      <c r="BL204" s="30"/>
      <c r="BW204" s="30">
        <v>21</v>
      </c>
      <c r="BX204" s="4" t="s">
        <v>532</v>
      </c>
    </row>
    <row r="205" spans="1:11" ht="13.5" customHeight="1">
      <c r="A205" s="34"/>
      <c r="C205" s="35" t="s">
        <v>231</v>
      </c>
      <c r="D205" s="137" t="s">
        <v>533</v>
      </c>
      <c r="E205" s="138"/>
      <c r="F205" s="138"/>
      <c r="G205" s="138"/>
      <c r="H205" s="139"/>
      <c r="I205" s="138"/>
      <c r="J205" s="138"/>
      <c r="K205" s="140"/>
    </row>
    <row r="206" spans="1:76" ht="15">
      <c r="A206" s="2" t="s">
        <v>534</v>
      </c>
      <c r="B206" s="3" t="s">
        <v>487</v>
      </c>
      <c r="C206" s="3" t="s">
        <v>531</v>
      </c>
      <c r="D206" s="116" t="s">
        <v>535</v>
      </c>
      <c r="E206" s="111"/>
      <c r="F206" s="3" t="s">
        <v>332</v>
      </c>
      <c r="G206" s="30">
        <v>1</v>
      </c>
      <c r="H206" s="31">
        <v>0</v>
      </c>
      <c r="I206" s="30">
        <f>G206*H206</f>
        <v>0</v>
      </c>
      <c r="J206" s="30">
        <v>0</v>
      </c>
      <c r="K206" s="32">
        <f>G206*J206</f>
        <v>0</v>
      </c>
      <c r="Z206" s="30">
        <f>IF(AQ206="5",BJ206,0)</f>
        <v>0</v>
      </c>
      <c r="AB206" s="30">
        <f>IF(AQ206="1",BH206,0)</f>
        <v>0</v>
      </c>
      <c r="AC206" s="30">
        <f>IF(AQ206="1",BI206,0)</f>
        <v>0</v>
      </c>
      <c r="AD206" s="30">
        <f>IF(AQ206="7",BH206,0)</f>
        <v>0</v>
      </c>
      <c r="AE206" s="30">
        <f>IF(AQ206="7",BI206,0)</f>
        <v>0</v>
      </c>
      <c r="AF206" s="30">
        <f>IF(AQ206="2",BH206,0)</f>
        <v>0</v>
      </c>
      <c r="AG206" s="30">
        <f>IF(AQ206="2",BI206,0)</f>
        <v>0</v>
      </c>
      <c r="AH206" s="30">
        <f>IF(AQ206="0",BJ206,0)</f>
        <v>0</v>
      </c>
      <c r="AI206" s="10" t="s">
        <v>487</v>
      </c>
      <c r="AJ206" s="30">
        <f>IF(AN206=0,I206,0)</f>
        <v>0</v>
      </c>
      <c r="AK206" s="30">
        <f>IF(AN206=12,I206,0)</f>
        <v>0</v>
      </c>
      <c r="AL206" s="30">
        <f>IF(AN206=21,I206,0)</f>
        <v>0</v>
      </c>
      <c r="AN206" s="30">
        <v>21</v>
      </c>
      <c r="AO206" s="30">
        <f>H206*0</f>
        <v>0</v>
      </c>
      <c r="AP206" s="30">
        <f>H206*(1-0)</f>
        <v>0</v>
      </c>
      <c r="AQ206" s="33" t="s">
        <v>53</v>
      </c>
      <c r="AV206" s="30">
        <f>AW206+AX206</f>
        <v>0</v>
      </c>
      <c r="AW206" s="30">
        <f>G206*AO206</f>
        <v>0</v>
      </c>
      <c r="AX206" s="30">
        <f>G206*AP206</f>
        <v>0</v>
      </c>
      <c r="AY206" s="33" t="s">
        <v>517</v>
      </c>
      <c r="AZ206" s="33" t="s">
        <v>495</v>
      </c>
      <c r="BA206" s="10" t="s">
        <v>496</v>
      </c>
      <c r="BC206" s="30">
        <f>AW206+AX206</f>
        <v>0</v>
      </c>
      <c r="BD206" s="30">
        <f>H206/(100-BE206)*100</f>
        <v>0</v>
      </c>
      <c r="BE206" s="30">
        <v>0</v>
      </c>
      <c r="BF206" s="30">
        <f>K206</f>
        <v>0</v>
      </c>
      <c r="BH206" s="30">
        <f>G206*AO206</f>
        <v>0</v>
      </c>
      <c r="BI206" s="30">
        <f>G206*AP206</f>
        <v>0</v>
      </c>
      <c r="BJ206" s="30">
        <f>G206*H206</f>
        <v>0</v>
      </c>
      <c r="BK206" s="30"/>
      <c r="BL206" s="30"/>
      <c r="BW206" s="30">
        <v>21</v>
      </c>
      <c r="BX206" s="4" t="s">
        <v>535</v>
      </c>
    </row>
    <row r="207" spans="1:76" ht="15">
      <c r="A207" s="2" t="s">
        <v>536</v>
      </c>
      <c r="B207" s="3" t="s">
        <v>487</v>
      </c>
      <c r="C207" s="3" t="s">
        <v>537</v>
      </c>
      <c r="D207" s="116" t="s">
        <v>538</v>
      </c>
      <c r="E207" s="111"/>
      <c r="F207" s="3" t="s">
        <v>332</v>
      </c>
      <c r="G207" s="30">
        <v>1</v>
      </c>
      <c r="H207" s="31">
        <v>0</v>
      </c>
      <c r="I207" s="30">
        <f>G207*H207</f>
        <v>0</v>
      </c>
      <c r="J207" s="30">
        <v>0</v>
      </c>
      <c r="K207" s="32">
        <f>G207*J207</f>
        <v>0</v>
      </c>
      <c r="Z207" s="30">
        <f>IF(AQ207="5",BJ207,0)</f>
        <v>0</v>
      </c>
      <c r="AB207" s="30">
        <f>IF(AQ207="1",BH207,0)</f>
        <v>0</v>
      </c>
      <c r="AC207" s="30">
        <f>IF(AQ207="1",BI207,0)</f>
        <v>0</v>
      </c>
      <c r="AD207" s="30">
        <f>IF(AQ207="7",BH207,0)</f>
        <v>0</v>
      </c>
      <c r="AE207" s="30">
        <f>IF(AQ207="7",BI207,0)</f>
        <v>0</v>
      </c>
      <c r="AF207" s="30">
        <f>IF(AQ207="2",BH207,0)</f>
        <v>0</v>
      </c>
      <c r="AG207" s="30">
        <f>IF(AQ207="2",BI207,0)</f>
        <v>0</v>
      </c>
      <c r="AH207" s="30">
        <f>IF(AQ207="0",BJ207,0)</f>
        <v>0</v>
      </c>
      <c r="AI207" s="10" t="s">
        <v>487</v>
      </c>
      <c r="AJ207" s="30">
        <f>IF(AN207=0,I207,0)</f>
        <v>0</v>
      </c>
      <c r="AK207" s="30">
        <f>IF(AN207=12,I207,0)</f>
        <v>0</v>
      </c>
      <c r="AL207" s="30">
        <f>IF(AN207=21,I207,0)</f>
        <v>0</v>
      </c>
      <c r="AN207" s="30">
        <v>21</v>
      </c>
      <c r="AO207" s="30">
        <f>H207*0</f>
        <v>0</v>
      </c>
      <c r="AP207" s="30">
        <f>H207*(1-0)</f>
        <v>0</v>
      </c>
      <c r="AQ207" s="33" t="s">
        <v>53</v>
      </c>
      <c r="AV207" s="30">
        <f>AW207+AX207</f>
        <v>0</v>
      </c>
      <c r="AW207" s="30">
        <f>G207*AO207</f>
        <v>0</v>
      </c>
      <c r="AX207" s="30">
        <f>G207*AP207</f>
        <v>0</v>
      </c>
      <c r="AY207" s="33" t="s">
        <v>517</v>
      </c>
      <c r="AZ207" s="33" t="s">
        <v>495</v>
      </c>
      <c r="BA207" s="10" t="s">
        <v>496</v>
      </c>
      <c r="BC207" s="30">
        <f>AW207+AX207</f>
        <v>0</v>
      </c>
      <c r="BD207" s="30">
        <f>H207/(100-BE207)*100</f>
        <v>0</v>
      </c>
      <c r="BE207" s="30">
        <v>0</v>
      </c>
      <c r="BF207" s="30">
        <f>K207</f>
        <v>0</v>
      </c>
      <c r="BH207" s="30">
        <f>G207*AO207</f>
        <v>0</v>
      </c>
      <c r="BI207" s="30">
        <f>G207*AP207</f>
        <v>0</v>
      </c>
      <c r="BJ207" s="30">
        <f>G207*H207</f>
        <v>0</v>
      </c>
      <c r="BK207" s="30"/>
      <c r="BL207" s="30"/>
      <c r="BW207" s="30">
        <v>21</v>
      </c>
      <c r="BX207" s="4" t="s">
        <v>538</v>
      </c>
    </row>
    <row r="208" spans="1:76" ht="15">
      <c r="A208" s="2" t="s">
        <v>539</v>
      </c>
      <c r="B208" s="3" t="s">
        <v>487</v>
      </c>
      <c r="C208" s="3" t="s">
        <v>540</v>
      </c>
      <c r="D208" s="116" t="s">
        <v>541</v>
      </c>
      <c r="E208" s="111"/>
      <c r="F208" s="3" t="s">
        <v>332</v>
      </c>
      <c r="G208" s="30">
        <v>1</v>
      </c>
      <c r="H208" s="31">
        <v>0</v>
      </c>
      <c r="I208" s="30">
        <f>G208*H208</f>
        <v>0</v>
      </c>
      <c r="J208" s="30">
        <v>0</v>
      </c>
      <c r="K208" s="32">
        <f>G208*J208</f>
        <v>0</v>
      </c>
      <c r="Z208" s="30">
        <f>IF(AQ208="5",BJ208,0)</f>
        <v>0</v>
      </c>
      <c r="AB208" s="30">
        <f>IF(AQ208="1",BH208,0)</f>
        <v>0</v>
      </c>
      <c r="AC208" s="30">
        <f>IF(AQ208="1",BI208,0)</f>
        <v>0</v>
      </c>
      <c r="AD208" s="30">
        <f>IF(AQ208="7",BH208,0)</f>
        <v>0</v>
      </c>
      <c r="AE208" s="30">
        <f>IF(AQ208="7",BI208,0)</f>
        <v>0</v>
      </c>
      <c r="AF208" s="30">
        <f>IF(AQ208="2",BH208,0)</f>
        <v>0</v>
      </c>
      <c r="AG208" s="30">
        <f>IF(AQ208="2",BI208,0)</f>
        <v>0</v>
      </c>
      <c r="AH208" s="30">
        <f>IF(AQ208="0",BJ208,0)</f>
        <v>0</v>
      </c>
      <c r="AI208" s="10" t="s">
        <v>487</v>
      </c>
      <c r="AJ208" s="30">
        <f>IF(AN208=0,I208,0)</f>
        <v>0</v>
      </c>
      <c r="AK208" s="30">
        <f>IF(AN208=12,I208,0)</f>
        <v>0</v>
      </c>
      <c r="AL208" s="30">
        <f>IF(AN208=21,I208,0)</f>
        <v>0</v>
      </c>
      <c r="AN208" s="30">
        <v>21</v>
      </c>
      <c r="AO208" s="30">
        <f>H208*0</f>
        <v>0</v>
      </c>
      <c r="AP208" s="30">
        <f>H208*(1-0)</f>
        <v>0</v>
      </c>
      <c r="AQ208" s="33" t="s">
        <v>53</v>
      </c>
      <c r="AV208" s="30">
        <f>AW208+AX208</f>
        <v>0</v>
      </c>
      <c r="AW208" s="30">
        <f>G208*AO208</f>
        <v>0</v>
      </c>
      <c r="AX208" s="30">
        <f>G208*AP208</f>
        <v>0</v>
      </c>
      <c r="AY208" s="33" t="s">
        <v>517</v>
      </c>
      <c r="AZ208" s="33" t="s">
        <v>495</v>
      </c>
      <c r="BA208" s="10" t="s">
        <v>496</v>
      </c>
      <c r="BC208" s="30">
        <f>AW208+AX208</f>
        <v>0</v>
      </c>
      <c r="BD208" s="30">
        <f>H208/(100-BE208)*100</f>
        <v>0</v>
      </c>
      <c r="BE208" s="30">
        <v>0</v>
      </c>
      <c r="BF208" s="30">
        <f>K208</f>
        <v>0</v>
      </c>
      <c r="BH208" s="30">
        <f>G208*AO208</f>
        <v>0</v>
      </c>
      <c r="BI208" s="30">
        <f>G208*AP208</f>
        <v>0</v>
      </c>
      <c r="BJ208" s="30">
        <f>G208*H208</f>
        <v>0</v>
      </c>
      <c r="BK208" s="30"/>
      <c r="BL208" s="30"/>
      <c r="BW208" s="30">
        <v>21</v>
      </c>
      <c r="BX208" s="4" t="s">
        <v>541</v>
      </c>
    </row>
    <row r="209" spans="1:76" ht="15">
      <c r="A209" s="2" t="s">
        <v>542</v>
      </c>
      <c r="B209" s="3" t="s">
        <v>487</v>
      </c>
      <c r="C209" s="3" t="s">
        <v>543</v>
      </c>
      <c r="D209" s="116" t="s">
        <v>544</v>
      </c>
      <c r="E209" s="111"/>
      <c r="F209" s="3" t="s">
        <v>332</v>
      </c>
      <c r="G209" s="30">
        <v>1</v>
      </c>
      <c r="H209" s="31">
        <v>0</v>
      </c>
      <c r="I209" s="30">
        <f>G209*H209</f>
        <v>0</v>
      </c>
      <c r="J209" s="30">
        <v>0</v>
      </c>
      <c r="K209" s="32">
        <f>G209*J209</f>
        <v>0</v>
      </c>
      <c r="Z209" s="30">
        <f>IF(AQ209="5",BJ209,0)</f>
        <v>0</v>
      </c>
      <c r="AB209" s="30">
        <f>IF(AQ209="1",BH209,0)</f>
        <v>0</v>
      </c>
      <c r="AC209" s="30">
        <f>IF(AQ209="1",BI209,0)</f>
        <v>0</v>
      </c>
      <c r="AD209" s="30">
        <f>IF(AQ209="7",BH209,0)</f>
        <v>0</v>
      </c>
      <c r="AE209" s="30">
        <f>IF(AQ209="7",BI209,0)</f>
        <v>0</v>
      </c>
      <c r="AF209" s="30">
        <f>IF(AQ209="2",BH209,0)</f>
        <v>0</v>
      </c>
      <c r="AG209" s="30">
        <f>IF(AQ209="2",BI209,0)</f>
        <v>0</v>
      </c>
      <c r="AH209" s="30">
        <f>IF(AQ209="0",BJ209,0)</f>
        <v>0</v>
      </c>
      <c r="AI209" s="10" t="s">
        <v>487</v>
      </c>
      <c r="AJ209" s="30">
        <f>IF(AN209=0,I209,0)</f>
        <v>0</v>
      </c>
      <c r="AK209" s="30">
        <f>IF(AN209=12,I209,0)</f>
        <v>0</v>
      </c>
      <c r="AL209" s="30">
        <f>IF(AN209=21,I209,0)</f>
        <v>0</v>
      </c>
      <c r="AN209" s="30">
        <v>21</v>
      </c>
      <c r="AO209" s="30">
        <f>H209*0</f>
        <v>0</v>
      </c>
      <c r="AP209" s="30">
        <f>H209*(1-0)</f>
        <v>0</v>
      </c>
      <c r="AQ209" s="33" t="s">
        <v>53</v>
      </c>
      <c r="AV209" s="30">
        <f>AW209+AX209</f>
        <v>0</v>
      </c>
      <c r="AW209" s="30">
        <f>G209*AO209</f>
        <v>0</v>
      </c>
      <c r="AX209" s="30">
        <f>G209*AP209</f>
        <v>0</v>
      </c>
      <c r="AY209" s="33" t="s">
        <v>517</v>
      </c>
      <c r="AZ209" s="33" t="s">
        <v>495</v>
      </c>
      <c r="BA209" s="10" t="s">
        <v>496</v>
      </c>
      <c r="BC209" s="30">
        <f>AW209+AX209</f>
        <v>0</v>
      </c>
      <c r="BD209" s="30">
        <f>H209/(100-BE209)*100</f>
        <v>0</v>
      </c>
      <c r="BE209" s="30">
        <v>0</v>
      </c>
      <c r="BF209" s="30">
        <f>K209</f>
        <v>0</v>
      </c>
      <c r="BH209" s="30">
        <f>G209*AO209</f>
        <v>0</v>
      </c>
      <c r="BI209" s="30">
        <f>G209*AP209</f>
        <v>0</v>
      </c>
      <c r="BJ209" s="30">
        <f>G209*H209</f>
        <v>0</v>
      </c>
      <c r="BK209" s="30"/>
      <c r="BL209" s="30"/>
      <c r="BW209" s="30">
        <v>21</v>
      </c>
      <c r="BX209" s="4" t="s">
        <v>544</v>
      </c>
    </row>
    <row r="210" spans="1:76" ht="15">
      <c r="A210" s="2" t="s">
        <v>545</v>
      </c>
      <c r="B210" s="3" t="s">
        <v>487</v>
      </c>
      <c r="C210" s="3" t="s">
        <v>546</v>
      </c>
      <c r="D210" s="116" t="s">
        <v>547</v>
      </c>
      <c r="E210" s="111"/>
      <c r="F210" s="3" t="s">
        <v>332</v>
      </c>
      <c r="G210" s="30">
        <v>1</v>
      </c>
      <c r="H210" s="31">
        <v>0</v>
      </c>
      <c r="I210" s="30">
        <f>G210*H210</f>
        <v>0</v>
      </c>
      <c r="J210" s="30">
        <v>0</v>
      </c>
      <c r="K210" s="32">
        <f>G210*J210</f>
        <v>0</v>
      </c>
      <c r="Z210" s="30">
        <f>IF(AQ210="5",BJ210,0)</f>
        <v>0</v>
      </c>
      <c r="AB210" s="30">
        <f>IF(AQ210="1",BH210,0)</f>
        <v>0</v>
      </c>
      <c r="AC210" s="30">
        <f>IF(AQ210="1",BI210,0)</f>
        <v>0</v>
      </c>
      <c r="AD210" s="30">
        <f>IF(AQ210="7",BH210,0)</f>
        <v>0</v>
      </c>
      <c r="AE210" s="30">
        <f>IF(AQ210="7",BI210,0)</f>
        <v>0</v>
      </c>
      <c r="AF210" s="30">
        <f>IF(AQ210="2",BH210,0)</f>
        <v>0</v>
      </c>
      <c r="AG210" s="30">
        <f>IF(AQ210="2",BI210,0)</f>
        <v>0</v>
      </c>
      <c r="AH210" s="30">
        <f>IF(AQ210="0",BJ210,0)</f>
        <v>0</v>
      </c>
      <c r="AI210" s="10" t="s">
        <v>487</v>
      </c>
      <c r="AJ210" s="30">
        <f>IF(AN210=0,I210,0)</f>
        <v>0</v>
      </c>
      <c r="AK210" s="30">
        <f>IF(AN210=12,I210,0)</f>
        <v>0</v>
      </c>
      <c r="AL210" s="30">
        <f>IF(AN210=21,I210,0)</f>
        <v>0</v>
      </c>
      <c r="AN210" s="30">
        <v>21</v>
      </c>
      <c r="AO210" s="30">
        <f>H210*0</f>
        <v>0</v>
      </c>
      <c r="AP210" s="30">
        <f>H210*(1-0)</f>
        <v>0</v>
      </c>
      <c r="AQ210" s="33" t="s">
        <v>53</v>
      </c>
      <c r="AV210" s="30">
        <f>AW210+AX210</f>
        <v>0</v>
      </c>
      <c r="AW210" s="30">
        <f>G210*AO210</f>
        <v>0</v>
      </c>
      <c r="AX210" s="30">
        <f>G210*AP210</f>
        <v>0</v>
      </c>
      <c r="AY210" s="33" t="s">
        <v>517</v>
      </c>
      <c r="AZ210" s="33" t="s">
        <v>495</v>
      </c>
      <c r="BA210" s="10" t="s">
        <v>496</v>
      </c>
      <c r="BC210" s="30">
        <f>AW210+AX210</f>
        <v>0</v>
      </c>
      <c r="BD210" s="30">
        <f>H210/(100-BE210)*100</f>
        <v>0</v>
      </c>
      <c r="BE210" s="30">
        <v>0</v>
      </c>
      <c r="BF210" s="30">
        <f>K210</f>
        <v>0</v>
      </c>
      <c r="BH210" s="30">
        <f>G210*AO210</f>
        <v>0</v>
      </c>
      <c r="BI210" s="30">
        <f>G210*AP210</f>
        <v>0</v>
      </c>
      <c r="BJ210" s="30">
        <f>G210*H210</f>
        <v>0</v>
      </c>
      <c r="BK210" s="30"/>
      <c r="BL210" s="30"/>
      <c r="BW210" s="30">
        <v>21</v>
      </c>
      <c r="BX210" s="4" t="s">
        <v>547</v>
      </c>
    </row>
    <row r="211" spans="1:47" ht="15">
      <c r="A211" s="25" t="s">
        <v>48</v>
      </c>
      <c r="B211" s="26" t="s">
        <v>487</v>
      </c>
      <c r="C211" s="26" t="s">
        <v>548</v>
      </c>
      <c r="D211" s="135" t="s">
        <v>549</v>
      </c>
      <c r="E211" s="136"/>
      <c r="F211" s="27" t="s">
        <v>4</v>
      </c>
      <c r="G211" s="27" t="s">
        <v>4</v>
      </c>
      <c r="H211" s="28" t="s">
        <v>4</v>
      </c>
      <c r="I211" s="1">
        <f>SUM(I212:I215)</f>
        <v>0</v>
      </c>
      <c r="J211" s="10" t="s">
        <v>48</v>
      </c>
      <c r="K211" s="29">
        <f>SUM(K212:K215)</f>
        <v>0</v>
      </c>
      <c r="AI211" s="10" t="s">
        <v>487</v>
      </c>
      <c r="AS211" s="1">
        <f>SUM(AJ212:AJ215)</f>
        <v>0</v>
      </c>
      <c r="AT211" s="1">
        <f>SUM(AK212:AK215)</f>
        <v>0</v>
      </c>
      <c r="AU211" s="1">
        <f>SUM(AL212:AL215)</f>
        <v>0</v>
      </c>
    </row>
    <row r="212" spans="1:76" ht="15">
      <c r="A212" s="2" t="s">
        <v>550</v>
      </c>
      <c r="B212" s="3" t="s">
        <v>487</v>
      </c>
      <c r="C212" s="3" t="s">
        <v>551</v>
      </c>
      <c r="D212" s="116" t="s">
        <v>552</v>
      </c>
      <c r="E212" s="111"/>
      <c r="F212" s="3" t="s">
        <v>332</v>
      </c>
      <c r="G212" s="30">
        <v>1</v>
      </c>
      <c r="H212" s="31">
        <v>0</v>
      </c>
      <c r="I212" s="30">
        <f>G212*H212</f>
        <v>0</v>
      </c>
      <c r="J212" s="30">
        <v>0</v>
      </c>
      <c r="K212" s="32">
        <f>G212*J212</f>
        <v>0</v>
      </c>
      <c r="Z212" s="30">
        <f>IF(AQ212="5",BJ212,0)</f>
        <v>0</v>
      </c>
      <c r="AB212" s="30">
        <f>IF(AQ212="1",BH212,0)</f>
        <v>0</v>
      </c>
      <c r="AC212" s="30">
        <f>IF(AQ212="1",BI212,0)</f>
        <v>0</v>
      </c>
      <c r="AD212" s="30">
        <f>IF(AQ212="7",BH212,0)</f>
        <v>0</v>
      </c>
      <c r="AE212" s="30">
        <f>IF(AQ212="7",BI212,0)</f>
        <v>0</v>
      </c>
      <c r="AF212" s="30">
        <f>IF(AQ212="2",BH212,0)</f>
        <v>0</v>
      </c>
      <c r="AG212" s="30">
        <f>IF(AQ212="2",BI212,0)</f>
        <v>0</v>
      </c>
      <c r="AH212" s="30">
        <f>IF(AQ212="0",BJ212,0)</f>
        <v>0</v>
      </c>
      <c r="AI212" s="10" t="s">
        <v>487</v>
      </c>
      <c r="AJ212" s="30">
        <f>IF(AN212=0,I212,0)</f>
        <v>0</v>
      </c>
      <c r="AK212" s="30">
        <f>IF(AN212=12,I212,0)</f>
        <v>0</v>
      </c>
      <c r="AL212" s="30">
        <f>IF(AN212=21,I212,0)</f>
        <v>0</v>
      </c>
      <c r="AN212" s="30">
        <v>21</v>
      </c>
      <c r="AO212" s="30">
        <f>H212*0</f>
        <v>0</v>
      </c>
      <c r="AP212" s="30">
        <f>H212*(1-0)</f>
        <v>0</v>
      </c>
      <c r="AQ212" s="33" t="s">
        <v>53</v>
      </c>
      <c r="AV212" s="30">
        <f>AW212+AX212</f>
        <v>0</v>
      </c>
      <c r="AW212" s="30">
        <f>G212*AO212</f>
        <v>0</v>
      </c>
      <c r="AX212" s="30">
        <f>G212*AP212</f>
        <v>0</v>
      </c>
      <c r="AY212" s="33" t="s">
        <v>553</v>
      </c>
      <c r="AZ212" s="33" t="s">
        <v>495</v>
      </c>
      <c r="BA212" s="10" t="s">
        <v>496</v>
      </c>
      <c r="BC212" s="30">
        <f>AW212+AX212</f>
        <v>0</v>
      </c>
      <c r="BD212" s="30">
        <f>H212/(100-BE212)*100</f>
        <v>0</v>
      </c>
      <c r="BE212" s="30">
        <v>0</v>
      </c>
      <c r="BF212" s="30">
        <f>K212</f>
        <v>0</v>
      </c>
      <c r="BH212" s="30">
        <f>G212*AO212</f>
        <v>0</v>
      </c>
      <c r="BI212" s="30">
        <f>G212*AP212</f>
        <v>0</v>
      </c>
      <c r="BJ212" s="30">
        <f>G212*H212</f>
        <v>0</v>
      </c>
      <c r="BK212" s="30"/>
      <c r="BL212" s="30"/>
      <c r="BW212" s="30">
        <v>21</v>
      </c>
      <c r="BX212" s="4" t="s">
        <v>552</v>
      </c>
    </row>
    <row r="213" spans="1:76" ht="15">
      <c r="A213" s="2" t="s">
        <v>554</v>
      </c>
      <c r="B213" s="3" t="s">
        <v>487</v>
      </c>
      <c r="C213" s="3" t="s">
        <v>555</v>
      </c>
      <c r="D213" s="116" t="s">
        <v>556</v>
      </c>
      <c r="E213" s="111"/>
      <c r="F213" s="3" t="s">
        <v>332</v>
      </c>
      <c r="G213" s="30">
        <v>1</v>
      </c>
      <c r="H213" s="31">
        <v>0</v>
      </c>
      <c r="I213" s="30">
        <f>G213*H213</f>
        <v>0</v>
      </c>
      <c r="J213" s="30">
        <v>0</v>
      </c>
      <c r="K213" s="32">
        <f>G213*J213</f>
        <v>0</v>
      </c>
      <c r="Z213" s="30">
        <f>IF(AQ213="5",BJ213,0)</f>
        <v>0</v>
      </c>
      <c r="AB213" s="30">
        <f>IF(AQ213="1",BH213,0)</f>
        <v>0</v>
      </c>
      <c r="AC213" s="30">
        <f>IF(AQ213="1",BI213,0)</f>
        <v>0</v>
      </c>
      <c r="AD213" s="30">
        <f>IF(AQ213="7",BH213,0)</f>
        <v>0</v>
      </c>
      <c r="AE213" s="30">
        <f>IF(AQ213="7",BI213,0)</f>
        <v>0</v>
      </c>
      <c r="AF213" s="30">
        <f>IF(AQ213="2",BH213,0)</f>
        <v>0</v>
      </c>
      <c r="AG213" s="30">
        <f>IF(AQ213="2",BI213,0)</f>
        <v>0</v>
      </c>
      <c r="AH213" s="30">
        <f>IF(AQ213="0",BJ213,0)</f>
        <v>0</v>
      </c>
      <c r="AI213" s="10" t="s">
        <v>487</v>
      </c>
      <c r="AJ213" s="30">
        <f>IF(AN213=0,I213,0)</f>
        <v>0</v>
      </c>
      <c r="AK213" s="30">
        <f>IF(AN213=12,I213,0)</f>
        <v>0</v>
      </c>
      <c r="AL213" s="30">
        <f>IF(AN213=21,I213,0)</f>
        <v>0</v>
      </c>
      <c r="AN213" s="30">
        <v>21</v>
      </c>
      <c r="AO213" s="30">
        <f>H213*0</f>
        <v>0</v>
      </c>
      <c r="AP213" s="30">
        <f>H213*(1-0)</f>
        <v>0</v>
      </c>
      <c r="AQ213" s="33" t="s">
        <v>53</v>
      </c>
      <c r="AV213" s="30">
        <f>AW213+AX213</f>
        <v>0</v>
      </c>
      <c r="AW213" s="30">
        <f>G213*AO213</f>
        <v>0</v>
      </c>
      <c r="AX213" s="30">
        <f>G213*AP213</f>
        <v>0</v>
      </c>
      <c r="AY213" s="33" t="s">
        <v>553</v>
      </c>
      <c r="AZ213" s="33" t="s">
        <v>495</v>
      </c>
      <c r="BA213" s="10" t="s">
        <v>496</v>
      </c>
      <c r="BC213" s="30">
        <f>AW213+AX213</f>
        <v>0</v>
      </c>
      <c r="BD213" s="30">
        <f>H213/(100-BE213)*100</f>
        <v>0</v>
      </c>
      <c r="BE213" s="30">
        <v>0</v>
      </c>
      <c r="BF213" s="30">
        <f>K213</f>
        <v>0</v>
      </c>
      <c r="BH213" s="30">
        <f>G213*AO213</f>
        <v>0</v>
      </c>
      <c r="BI213" s="30">
        <f>G213*AP213</f>
        <v>0</v>
      </c>
      <c r="BJ213" s="30">
        <f>G213*H213</f>
        <v>0</v>
      </c>
      <c r="BK213" s="30"/>
      <c r="BL213" s="30"/>
      <c r="BW213" s="30">
        <v>21</v>
      </c>
      <c r="BX213" s="4" t="s">
        <v>556</v>
      </c>
    </row>
    <row r="214" spans="1:76" ht="25.5">
      <c r="A214" s="2" t="s">
        <v>557</v>
      </c>
      <c r="B214" s="3" t="s">
        <v>487</v>
      </c>
      <c r="C214" s="3" t="s">
        <v>558</v>
      </c>
      <c r="D214" s="116" t="s">
        <v>559</v>
      </c>
      <c r="E214" s="111"/>
      <c r="F214" s="3" t="s">
        <v>332</v>
      </c>
      <c r="G214" s="30">
        <v>1</v>
      </c>
      <c r="H214" s="31">
        <v>0</v>
      </c>
      <c r="I214" s="30">
        <f>G214*H214</f>
        <v>0</v>
      </c>
      <c r="J214" s="30">
        <v>0</v>
      </c>
      <c r="K214" s="32">
        <f>G214*J214</f>
        <v>0</v>
      </c>
      <c r="Z214" s="30">
        <f>IF(AQ214="5",BJ214,0)</f>
        <v>0</v>
      </c>
      <c r="AB214" s="30">
        <f>IF(AQ214="1",BH214,0)</f>
        <v>0</v>
      </c>
      <c r="AC214" s="30">
        <f>IF(AQ214="1",BI214,0)</f>
        <v>0</v>
      </c>
      <c r="AD214" s="30">
        <f>IF(AQ214="7",BH214,0)</f>
        <v>0</v>
      </c>
      <c r="AE214" s="30">
        <f>IF(AQ214="7",BI214,0)</f>
        <v>0</v>
      </c>
      <c r="AF214" s="30">
        <f>IF(AQ214="2",BH214,0)</f>
        <v>0</v>
      </c>
      <c r="AG214" s="30">
        <f>IF(AQ214="2",BI214,0)</f>
        <v>0</v>
      </c>
      <c r="AH214" s="30">
        <f>IF(AQ214="0",BJ214,0)</f>
        <v>0</v>
      </c>
      <c r="AI214" s="10" t="s">
        <v>487</v>
      </c>
      <c r="AJ214" s="30">
        <f>IF(AN214=0,I214,0)</f>
        <v>0</v>
      </c>
      <c r="AK214" s="30">
        <f>IF(AN214=12,I214,0)</f>
        <v>0</v>
      </c>
      <c r="AL214" s="30">
        <f>IF(AN214=21,I214,0)</f>
        <v>0</v>
      </c>
      <c r="AN214" s="30">
        <v>21</v>
      </c>
      <c r="AO214" s="30">
        <f>H214*0</f>
        <v>0</v>
      </c>
      <c r="AP214" s="30">
        <f>H214*(1-0)</f>
        <v>0</v>
      </c>
      <c r="AQ214" s="33" t="s">
        <v>53</v>
      </c>
      <c r="AV214" s="30">
        <f>AW214+AX214</f>
        <v>0</v>
      </c>
      <c r="AW214" s="30">
        <f>G214*AO214</f>
        <v>0</v>
      </c>
      <c r="AX214" s="30">
        <f>G214*AP214</f>
        <v>0</v>
      </c>
      <c r="AY214" s="33" t="s">
        <v>553</v>
      </c>
      <c r="AZ214" s="33" t="s">
        <v>495</v>
      </c>
      <c r="BA214" s="10" t="s">
        <v>496</v>
      </c>
      <c r="BC214" s="30">
        <f>AW214+AX214</f>
        <v>0</v>
      </c>
      <c r="BD214" s="30">
        <f>H214/(100-BE214)*100</f>
        <v>0</v>
      </c>
      <c r="BE214" s="30">
        <v>0</v>
      </c>
      <c r="BF214" s="30">
        <f>K214</f>
        <v>0</v>
      </c>
      <c r="BH214" s="30">
        <f>G214*AO214</f>
        <v>0</v>
      </c>
      <c r="BI214" s="30">
        <f>G214*AP214</f>
        <v>0</v>
      </c>
      <c r="BJ214" s="30">
        <f>G214*H214</f>
        <v>0</v>
      </c>
      <c r="BK214" s="30"/>
      <c r="BL214" s="30"/>
      <c r="BW214" s="30">
        <v>21</v>
      </c>
      <c r="BX214" s="4" t="s">
        <v>559</v>
      </c>
    </row>
    <row r="215" spans="1:76" ht="15">
      <c r="A215" s="53" t="s">
        <v>560</v>
      </c>
      <c r="B215" s="54" t="s">
        <v>487</v>
      </c>
      <c r="C215" s="54" t="s">
        <v>558</v>
      </c>
      <c r="D215" s="147" t="s">
        <v>561</v>
      </c>
      <c r="E215" s="148"/>
      <c r="F215" s="54" t="s">
        <v>135</v>
      </c>
      <c r="G215" s="55">
        <v>5</v>
      </c>
      <c r="H215" s="56">
        <v>0</v>
      </c>
      <c r="I215" s="55">
        <f>G215*H215</f>
        <v>0</v>
      </c>
      <c r="J215" s="55">
        <v>0</v>
      </c>
      <c r="K215" s="57">
        <f>G215*J215</f>
        <v>0</v>
      </c>
      <c r="Z215" s="30">
        <f>IF(AQ215="5",BJ215,0)</f>
        <v>0</v>
      </c>
      <c r="AB215" s="30">
        <f>IF(AQ215="1",BH215,0)</f>
        <v>0</v>
      </c>
      <c r="AC215" s="30">
        <f>IF(AQ215="1",BI215,0)</f>
        <v>0</v>
      </c>
      <c r="AD215" s="30">
        <f>IF(AQ215="7",BH215,0)</f>
        <v>0</v>
      </c>
      <c r="AE215" s="30">
        <f>IF(AQ215="7",BI215,0)</f>
        <v>0</v>
      </c>
      <c r="AF215" s="30">
        <f>IF(AQ215="2",BH215,0)</f>
        <v>0</v>
      </c>
      <c r="AG215" s="30">
        <f>IF(AQ215="2",BI215,0)</f>
        <v>0</v>
      </c>
      <c r="AH215" s="30">
        <f>IF(AQ215="0",BJ215,0)</f>
        <v>0</v>
      </c>
      <c r="AI215" s="10" t="s">
        <v>487</v>
      </c>
      <c r="AJ215" s="30">
        <f>IF(AN215=0,I215,0)</f>
        <v>0</v>
      </c>
      <c r="AK215" s="30">
        <f>IF(AN215=12,I215,0)</f>
        <v>0</v>
      </c>
      <c r="AL215" s="30">
        <f>IF(AN215=21,I215,0)</f>
        <v>0</v>
      </c>
      <c r="AN215" s="30">
        <v>21</v>
      </c>
      <c r="AO215" s="30">
        <f>H215*0</f>
        <v>0</v>
      </c>
      <c r="AP215" s="30">
        <f>H215*(1-0)</f>
        <v>0</v>
      </c>
      <c r="AQ215" s="33" t="s">
        <v>53</v>
      </c>
      <c r="AV215" s="30">
        <f>AW215+AX215</f>
        <v>0</v>
      </c>
      <c r="AW215" s="30">
        <f>G215*AO215</f>
        <v>0</v>
      </c>
      <c r="AX215" s="30">
        <f>G215*AP215</f>
        <v>0</v>
      </c>
      <c r="AY215" s="33" t="s">
        <v>553</v>
      </c>
      <c r="AZ215" s="33" t="s">
        <v>495</v>
      </c>
      <c r="BA215" s="10" t="s">
        <v>496</v>
      </c>
      <c r="BC215" s="30">
        <f>AW215+AX215</f>
        <v>0</v>
      </c>
      <c r="BD215" s="30">
        <f>H215/(100-BE215)*100</f>
        <v>0</v>
      </c>
      <c r="BE215" s="30">
        <v>0</v>
      </c>
      <c r="BF215" s="30">
        <f>K215</f>
        <v>0</v>
      </c>
      <c r="BH215" s="30">
        <f>G215*AO215</f>
        <v>0</v>
      </c>
      <c r="BI215" s="30">
        <f>G215*AP215</f>
        <v>0</v>
      </c>
      <c r="BJ215" s="30">
        <f>G215*H215</f>
        <v>0</v>
      </c>
      <c r="BK215" s="30"/>
      <c r="BL215" s="30"/>
      <c r="BW215" s="30">
        <v>21</v>
      </c>
      <c r="BX215" s="4" t="s">
        <v>561</v>
      </c>
    </row>
    <row r="216" ht="15">
      <c r="I216" s="58">
        <f>I13+I18+I23+I29+I31+I60+I63+I65+I67+I72+I74+I77+I85+I88+I94+I105+I118+I120+I122+I124+I132+I134+I136+I138+I140+I153+I156+I163+I166+I179+I181+I183+I191+I198+I211</f>
        <v>0</v>
      </c>
    </row>
    <row r="217" ht="15">
      <c r="A217" s="59" t="s">
        <v>231</v>
      </c>
    </row>
    <row r="218" spans="1:11" ht="12.75" customHeight="1">
      <c r="A218" s="116" t="s">
        <v>48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</row>
  </sheetData>
  <sheetProtection password="C665" sheet="1"/>
  <mergeCells count="233">
    <mergeCell ref="D215:E215"/>
    <mergeCell ref="A218:K218"/>
    <mergeCell ref="D210:E210"/>
    <mergeCell ref="D211:E211"/>
    <mergeCell ref="D212:E212"/>
    <mergeCell ref="D213:E213"/>
    <mergeCell ref="D214:E214"/>
    <mergeCell ref="D205:K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K176"/>
    <mergeCell ref="D177:E177"/>
    <mergeCell ref="D178:E178"/>
    <mergeCell ref="D179:E179"/>
    <mergeCell ref="D170:E170"/>
    <mergeCell ref="D171:E171"/>
    <mergeCell ref="D172:K172"/>
    <mergeCell ref="D173:E173"/>
    <mergeCell ref="D174:E174"/>
    <mergeCell ref="D165:K165"/>
    <mergeCell ref="D166:E166"/>
    <mergeCell ref="D167:E167"/>
    <mergeCell ref="D168:K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K159"/>
    <mergeCell ref="D150:K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K117"/>
    <mergeCell ref="D118:E118"/>
    <mergeCell ref="D119:E119"/>
    <mergeCell ref="D110:E110"/>
    <mergeCell ref="D111:E111"/>
    <mergeCell ref="D112:K112"/>
    <mergeCell ref="D113:E113"/>
    <mergeCell ref="D114:E114"/>
    <mergeCell ref="D105:E105"/>
    <mergeCell ref="D106:E106"/>
    <mergeCell ref="D107:K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K90"/>
    <mergeCell ref="D91:E91"/>
    <mergeCell ref="D92:K92"/>
    <mergeCell ref="D93:E93"/>
    <mergeCell ref="D94:E94"/>
    <mergeCell ref="D85:E85"/>
    <mergeCell ref="D86:E86"/>
    <mergeCell ref="D87:K87"/>
    <mergeCell ref="D88:E88"/>
    <mergeCell ref="D89:E89"/>
    <mergeCell ref="D80:E80"/>
    <mergeCell ref="D81:K81"/>
    <mergeCell ref="D82:E82"/>
    <mergeCell ref="D83:K83"/>
    <mergeCell ref="D84:E84"/>
    <mergeCell ref="D75:E75"/>
    <mergeCell ref="D76:K76"/>
    <mergeCell ref="D77:E77"/>
    <mergeCell ref="D78:E78"/>
    <mergeCell ref="D79:K79"/>
    <mergeCell ref="D70:E70"/>
    <mergeCell ref="D71:K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K3"/>
    <mergeCell ref="J4:K5"/>
    <mergeCell ref="J6:K7"/>
    <mergeCell ref="J8:K9"/>
    <mergeCell ref="D10:E10"/>
    <mergeCell ref="D8:E9"/>
    <mergeCell ref="H2:H3"/>
    <mergeCell ref="H4:H5"/>
    <mergeCell ref="H6:H7"/>
    <mergeCell ref="H8:H9"/>
    <mergeCell ref="A1:K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6"/>
  <sheetViews>
    <sheetView workbookViewId="0" topLeftCell="A1">
      <selection activeCell="A36" sqref="A36:E36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54.75" customHeight="1">
      <c r="A1" s="159" t="s">
        <v>693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1</v>
      </c>
      <c r="B2" s="109"/>
      <c r="C2" s="117" t="str">
        <f>'Stavební rozpočet'!D2</f>
        <v>MŠ Hlubčická - oprava komunikačních ploch a oplocení</v>
      </c>
      <c r="D2" s="118"/>
      <c r="E2" s="115" t="s">
        <v>5</v>
      </c>
      <c r="F2" s="115" t="str">
        <f>'Stavební rozpočet'!J2</f>
        <v>Město Krnov</v>
      </c>
      <c r="G2" s="109"/>
      <c r="H2" s="115" t="s">
        <v>647</v>
      </c>
      <c r="I2" s="123" t="s">
        <v>648</v>
      </c>
    </row>
    <row r="3" spans="1:9" ht="15" customHeight="1">
      <c r="A3" s="110"/>
      <c r="B3" s="111"/>
      <c r="C3" s="119"/>
      <c r="D3" s="119"/>
      <c r="E3" s="111"/>
      <c r="F3" s="111"/>
      <c r="G3" s="111"/>
      <c r="H3" s="111"/>
      <c r="I3" s="124"/>
    </row>
    <row r="4" spans="1:9" ht="15">
      <c r="A4" s="112" t="s">
        <v>7</v>
      </c>
      <c r="B4" s="111"/>
      <c r="C4" s="116" t="str">
        <f>'Stavební rozpočet'!D4</f>
        <v xml:space="preserve"> </v>
      </c>
      <c r="D4" s="111"/>
      <c r="E4" s="116" t="s">
        <v>9</v>
      </c>
      <c r="F4" s="116" t="str">
        <f>'Stavební rozpočet'!J4</f>
        <v>Radovan Zatloukal</v>
      </c>
      <c r="G4" s="111"/>
      <c r="H4" s="116" t="s">
        <v>647</v>
      </c>
      <c r="I4" s="124" t="s">
        <v>649</v>
      </c>
    </row>
    <row r="5" spans="1:9" ht="15" customHeight="1">
      <c r="A5" s="110"/>
      <c r="B5" s="111"/>
      <c r="C5" s="111"/>
      <c r="D5" s="111"/>
      <c r="E5" s="111"/>
      <c r="F5" s="111"/>
      <c r="G5" s="111"/>
      <c r="H5" s="111"/>
      <c r="I5" s="124"/>
    </row>
    <row r="6" spans="1:9" ht="15">
      <c r="A6" s="112" t="s">
        <v>11</v>
      </c>
      <c r="B6" s="111"/>
      <c r="C6" s="116" t="str">
        <f>'Stavební rozpočet'!D6</f>
        <v>Hlubčická 398/89, 794 01 Krnov</v>
      </c>
      <c r="D6" s="111"/>
      <c r="E6" s="116" t="s">
        <v>14</v>
      </c>
      <c r="F6" s="116" t="str">
        <f>'Stavební rozpočet'!J6</f>
        <v> </v>
      </c>
      <c r="G6" s="111"/>
      <c r="H6" s="116" t="s">
        <v>647</v>
      </c>
      <c r="I6" s="124" t="s">
        <v>48</v>
      </c>
    </row>
    <row r="7" spans="1:9" ht="15" customHeight="1">
      <c r="A7" s="110"/>
      <c r="B7" s="111"/>
      <c r="C7" s="111"/>
      <c r="D7" s="111"/>
      <c r="E7" s="111"/>
      <c r="F7" s="111"/>
      <c r="G7" s="111"/>
      <c r="H7" s="111"/>
      <c r="I7" s="124"/>
    </row>
    <row r="8" spans="1:9" ht="15">
      <c r="A8" s="112" t="s">
        <v>8</v>
      </c>
      <c r="B8" s="111"/>
      <c r="C8" s="116" t="str">
        <f>'Stavební rozpočet'!H4</f>
        <v xml:space="preserve"> </v>
      </c>
      <c r="D8" s="111"/>
      <c r="E8" s="116" t="s">
        <v>13</v>
      </c>
      <c r="F8" s="116" t="str">
        <f>'Stavební rozpočet'!H6</f>
        <v xml:space="preserve"> </v>
      </c>
      <c r="G8" s="111"/>
      <c r="H8" s="111" t="s">
        <v>650</v>
      </c>
      <c r="I8" s="161">
        <v>148</v>
      </c>
    </row>
    <row r="9" spans="1:9" ht="15">
      <c r="A9" s="110"/>
      <c r="B9" s="111"/>
      <c r="C9" s="111"/>
      <c r="D9" s="111"/>
      <c r="E9" s="111"/>
      <c r="F9" s="111"/>
      <c r="G9" s="111"/>
      <c r="H9" s="111"/>
      <c r="I9" s="124"/>
    </row>
    <row r="10" spans="1:9" ht="15">
      <c r="A10" s="112" t="s">
        <v>16</v>
      </c>
      <c r="B10" s="111"/>
      <c r="C10" s="116" t="str">
        <f>'Stavební rozpočet'!D8</f>
        <v xml:space="preserve"> </v>
      </c>
      <c r="D10" s="111"/>
      <c r="E10" s="116" t="s">
        <v>19</v>
      </c>
      <c r="F10" s="116" t="str">
        <f>'Stavební rozpočet'!J8</f>
        <v> </v>
      </c>
      <c r="G10" s="111"/>
      <c r="H10" s="111" t="s">
        <v>651</v>
      </c>
      <c r="I10" s="162" t="str">
        <f>'Stavební rozpočet'!H8</f>
        <v>15.04.2024</v>
      </c>
    </row>
    <row r="11" spans="1:9" ht="15">
      <c r="A11" s="160"/>
      <c r="B11" s="148"/>
      <c r="C11" s="148"/>
      <c r="D11" s="148"/>
      <c r="E11" s="148"/>
      <c r="F11" s="148"/>
      <c r="G11" s="148"/>
      <c r="H11" s="148"/>
      <c r="I11" s="163"/>
    </row>
    <row r="13" spans="1:5" ht="15.75">
      <c r="A13" s="197" t="s">
        <v>694</v>
      </c>
      <c r="B13" s="197"/>
      <c r="C13" s="197"/>
      <c r="D13" s="197"/>
      <c r="E13" s="197"/>
    </row>
    <row r="14" spans="1:9" ht="15">
      <c r="A14" s="198" t="s">
        <v>695</v>
      </c>
      <c r="B14" s="199"/>
      <c r="C14" s="199"/>
      <c r="D14" s="199"/>
      <c r="E14" s="200"/>
      <c r="F14" s="99" t="s">
        <v>696</v>
      </c>
      <c r="G14" s="99" t="s">
        <v>179</v>
      </c>
      <c r="H14" s="99" t="s">
        <v>697</v>
      </c>
      <c r="I14" s="99" t="s">
        <v>696</v>
      </c>
    </row>
    <row r="15" spans="1:9" ht="15">
      <c r="A15" s="201" t="s">
        <v>661</v>
      </c>
      <c r="B15" s="202"/>
      <c r="C15" s="202"/>
      <c r="D15" s="202"/>
      <c r="E15" s="203"/>
      <c r="F15" s="100">
        <v>0</v>
      </c>
      <c r="G15" s="101" t="s">
        <v>48</v>
      </c>
      <c r="H15" s="101" t="s">
        <v>48</v>
      </c>
      <c r="I15" s="100">
        <f>F15</f>
        <v>0</v>
      </c>
    </row>
    <row r="16" spans="1:9" ht="15">
      <c r="A16" s="201" t="s">
        <v>664</v>
      </c>
      <c r="B16" s="202"/>
      <c r="C16" s="202"/>
      <c r="D16" s="202"/>
      <c r="E16" s="203"/>
      <c r="F16" s="100">
        <v>0</v>
      </c>
      <c r="G16" s="101" t="s">
        <v>48</v>
      </c>
      <c r="H16" s="101" t="s">
        <v>48</v>
      </c>
      <c r="I16" s="100">
        <f>F16</f>
        <v>0</v>
      </c>
    </row>
    <row r="17" spans="1:9" ht="15">
      <c r="A17" s="204" t="s">
        <v>667</v>
      </c>
      <c r="B17" s="205"/>
      <c r="C17" s="205"/>
      <c r="D17" s="205"/>
      <c r="E17" s="206"/>
      <c r="F17" s="102">
        <v>0</v>
      </c>
      <c r="G17" s="103" t="s">
        <v>48</v>
      </c>
      <c r="H17" s="103" t="s">
        <v>48</v>
      </c>
      <c r="I17" s="102">
        <f>F17</f>
        <v>0</v>
      </c>
    </row>
    <row r="18" spans="1:9" ht="15">
      <c r="A18" s="207" t="s">
        <v>698</v>
      </c>
      <c r="B18" s="208"/>
      <c r="C18" s="208"/>
      <c r="D18" s="208"/>
      <c r="E18" s="209"/>
      <c r="F18" s="104" t="s">
        <v>48</v>
      </c>
      <c r="G18" s="105" t="s">
        <v>48</v>
      </c>
      <c r="H18" s="105" t="s">
        <v>48</v>
      </c>
      <c r="I18" s="106">
        <f>SUM(I15:I17)</f>
        <v>0</v>
      </c>
    </row>
    <row r="20" spans="1:9" ht="15">
      <c r="A20" s="198" t="s">
        <v>658</v>
      </c>
      <c r="B20" s="199"/>
      <c r="C20" s="199"/>
      <c r="D20" s="199"/>
      <c r="E20" s="200"/>
      <c r="F20" s="99" t="s">
        <v>696</v>
      </c>
      <c r="G20" s="99" t="s">
        <v>179</v>
      </c>
      <c r="H20" s="99" t="s">
        <v>697</v>
      </c>
      <c r="I20" s="99" t="s">
        <v>696</v>
      </c>
    </row>
    <row r="21" spans="1:9" ht="15">
      <c r="A21" s="201" t="s">
        <v>662</v>
      </c>
      <c r="B21" s="202"/>
      <c r="C21" s="202"/>
      <c r="D21" s="202"/>
      <c r="E21" s="203"/>
      <c r="F21" s="100">
        <v>0</v>
      </c>
      <c r="G21" s="101" t="s">
        <v>48</v>
      </c>
      <c r="H21" s="101" t="s">
        <v>48</v>
      </c>
      <c r="I21" s="100">
        <f aca="true" t="shared" si="0" ref="I21:I26">F21</f>
        <v>0</v>
      </c>
    </row>
    <row r="22" spans="1:9" ht="15">
      <c r="A22" s="201" t="s">
        <v>665</v>
      </c>
      <c r="B22" s="202"/>
      <c r="C22" s="202"/>
      <c r="D22" s="202"/>
      <c r="E22" s="203"/>
      <c r="F22" s="100">
        <v>0</v>
      </c>
      <c r="G22" s="101" t="s">
        <v>48</v>
      </c>
      <c r="H22" s="101" t="s">
        <v>48</v>
      </c>
      <c r="I22" s="100">
        <f t="shared" si="0"/>
        <v>0</v>
      </c>
    </row>
    <row r="23" spans="1:9" ht="15">
      <c r="A23" s="201" t="s">
        <v>668</v>
      </c>
      <c r="B23" s="202"/>
      <c r="C23" s="202"/>
      <c r="D23" s="202"/>
      <c r="E23" s="203"/>
      <c r="F23" s="100">
        <v>0</v>
      </c>
      <c r="G23" s="101" t="s">
        <v>48</v>
      </c>
      <c r="H23" s="101" t="s">
        <v>48</v>
      </c>
      <c r="I23" s="100">
        <f t="shared" si="0"/>
        <v>0</v>
      </c>
    </row>
    <row r="24" spans="1:9" ht="15">
      <c r="A24" s="201" t="s">
        <v>669</v>
      </c>
      <c r="B24" s="202"/>
      <c r="C24" s="202"/>
      <c r="D24" s="202"/>
      <c r="E24" s="203"/>
      <c r="F24" s="100">
        <v>0</v>
      </c>
      <c r="G24" s="101" t="s">
        <v>48</v>
      </c>
      <c r="H24" s="101" t="s">
        <v>48</v>
      </c>
      <c r="I24" s="100">
        <f t="shared" si="0"/>
        <v>0</v>
      </c>
    </row>
    <row r="25" spans="1:9" ht="15">
      <c r="A25" s="201" t="s">
        <v>671</v>
      </c>
      <c r="B25" s="202"/>
      <c r="C25" s="202"/>
      <c r="D25" s="202"/>
      <c r="E25" s="203"/>
      <c r="F25" s="100">
        <v>0</v>
      </c>
      <c r="G25" s="101" t="s">
        <v>48</v>
      </c>
      <c r="H25" s="101" t="s">
        <v>48</v>
      </c>
      <c r="I25" s="100">
        <f t="shared" si="0"/>
        <v>0</v>
      </c>
    </row>
    <row r="26" spans="1:9" ht="15">
      <c r="A26" s="204" t="s">
        <v>672</v>
      </c>
      <c r="B26" s="205"/>
      <c r="C26" s="205"/>
      <c r="D26" s="205"/>
      <c r="E26" s="206"/>
      <c r="F26" s="102">
        <v>0</v>
      </c>
      <c r="G26" s="103" t="s">
        <v>48</v>
      </c>
      <c r="H26" s="103" t="s">
        <v>48</v>
      </c>
      <c r="I26" s="102">
        <f t="shared" si="0"/>
        <v>0</v>
      </c>
    </row>
    <row r="27" spans="1:9" ht="15">
      <c r="A27" s="207" t="s">
        <v>699</v>
      </c>
      <c r="B27" s="208"/>
      <c r="C27" s="208"/>
      <c r="D27" s="208"/>
      <c r="E27" s="209"/>
      <c r="F27" s="104" t="s">
        <v>48</v>
      </c>
      <c r="G27" s="105" t="s">
        <v>48</v>
      </c>
      <c r="H27" s="105" t="s">
        <v>48</v>
      </c>
      <c r="I27" s="106">
        <f>SUM(I21:I26)</f>
        <v>0</v>
      </c>
    </row>
    <row r="29" spans="1:9" ht="15.75">
      <c r="A29" s="210" t="s">
        <v>700</v>
      </c>
      <c r="B29" s="211"/>
      <c r="C29" s="211"/>
      <c r="D29" s="211"/>
      <c r="E29" s="212"/>
      <c r="F29" s="213">
        <f>I18+I27</f>
        <v>0</v>
      </c>
      <c r="G29" s="214"/>
      <c r="H29" s="214"/>
      <c r="I29" s="215"/>
    </row>
    <row r="33" spans="1:5" ht="15.75">
      <c r="A33" s="197" t="s">
        <v>701</v>
      </c>
      <c r="B33" s="197"/>
      <c r="C33" s="197"/>
      <c r="D33" s="197"/>
      <c r="E33" s="197"/>
    </row>
    <row r="34" spans="1:9" ht="15">
      <c r="A34" s="198" t="s">
        <v>702</v>
      </c>
      <c r="B34" s="199"/>
      <c r="C34" s="199"/>
      <c r="D34" s="199"/>
      <c r="E34" s="200"/>
      <c r="F34" s="99" t="s">
        <v>696</v>
      </c>
      <c r="G34" s="99" t="s">
        <v>179</v>
      </c>
      <c r="H34" s="99" t="s">
        <v>697</v>
      </c>
      <c r="I34" s="99" t="s">
        <v>696</v>
      </c>
    </row>
    <row r="35" spans="1:9" ht="15">
      <c r="A35" s="204" t="s">
        <v>48</v>
      </c>
      <c r="B35" s="205"/>
      <c r="C35" s="205"/>
      <c r="D35" s="205"/>
      <c r="E35" s="206"/>
      <c r="F35" s="102">
        <v>0</v>
      </c>
      <c r="G35" s="103" t="s">
        <v>48</v>
      </c>
      <c r="H35" s="103" t="s">
        <v>48</v>
      </c>
      <c r="I35" s="102">
        <f>F35</f>
        <v>0</v>
      </c>
    </row>
    <row r="36" spans="1:9" ht="15">
      <c r="A36" s="207" t="s">
        <v>703</v>
      </c>
      <c r="B36" s="208"/>
      <c r="C36" s="208"/>
      <c r="D36" s="208"/>
      <c r="E36" s="209"/>
      <c r="F36" s="104" t="s">
        <v>48</v>
      </c>
      <c r="G36" s="105" t="s">
        <v>48</v>
      </c>
      <c r="H36" s="105" t="s">
        <v>48</v>
      </c>
      <c r="I36" s="106">
        <f>SUM(I35:I35)</f>
        <v>0</v>
      </c>
    </row>
  </sheetData>
  <sheetProtection password="C665" sheet="1"/>
  <mergeCells count="51">
    <mergeCell ref="A36:E36"/>
    <mergeCell ref="A29:E29"/>
    <mergeCell ref="F29:I29"/>
    <mergeCell ref="A33:E33"/>
    <mergeCell ref="A34:E34"/>
    <mergeCell ref="A35:E35"/>
    <mergeCell ref="A23:E23"/>
    <mergeCell ref="A24:E24"/>
    <mergeCell ref="A25:E25"/>
    <mergeCell ref="A26:E26"/>
    <mergeCell ref="A27:E27"/>
    <mergeCell ref="A17:E17"/>
    <mergeCell ref="A18:E18"/>
    <mergeCell ref="A20:E20"/>
    <mergeCell ref="A21:E21"/>
    <mergeCell ref="A22:E22"/>
    <mergeCell ref="I10:I11"/>
    <mergeCell ref="A13:E13"/>
    <mergeCell ref="A14:E14"/>
    <mergeCell ref="A15:E15"/>
    <mergeCell ref="A16:E16"/>
    <mergeCell ref="H10:H11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A10:B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</mergeCells>
  <printOptions/>
  <pageMargins left="0.393999993801117" right="0.393999993801117" top="0.591000020503998" bottom="0.591000020503998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Kamil Beck</cp:lastModifiedBy>
  <dcterms:created xsi:type="dcterms:W3CDTF">2021-06-10T20:06:38Z</dcterms:created>
  <dcterms:modified xsi:type="dcterms:W3CDTF">2024-04-17T06:27:20Z</dcterms:modified>
  <cp:category/>
  <cp:version/>
  <cp:contentType/>
  <cp:contentStatus/>
</cp:coreProperties>
</file>