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005" windowHeight="12000" activeTab="2"/>
  </bookViews>
  <sheets>
    <sheet name="Stavební rozpočet" sheetId="1" r:id="rId1"/>
    <sheet name="Stavební rozpočet - součet" sheetId="2" r:id="rId2"/>
    <sheet name="Výkaz výměr" sheetId="3" r:id="rId3"/>
    <sheet name="Krycí list rozpočtu" sheetId="4" r:id="rId4"/>
  </sheets>
  <definedNames/>
  <calcPr fullCalcOnLoad="1"/>
</workbook>
</file>

<file path=xl/sharedStrings.xml><?xml version="1.0" encoding="utf-8"?>
<sst xmlns="http://schemas.openxmlformats.org/spreadsheetml/2006/main" count="966" uniqueCount="323">
  <si>
    <t>184102110R00</t>
  </si>
  <si>
    <t>183204113R00</t>
  </si>
  <si>
    <t>Doba výstavby:</t>
  </si>
  <si>
    <t>Hloubené vykopávky</t>
  </si>
  <si>
    <t>112201112R00</t>
  </si>
  <si>
    <t>Projektant</t>
  </si>
  <si>
    <t>08231320</t>
  </si>
  <si>
    <t>Základ 15%</t>
  </si>
  <si>
    <t>Založení záhonu v rovině/svah 1 : 5, hor. 4</t>
  </si>
  <si>
    <t>Odstranění pařezů o průměru do 30 cm, svah 1:5</t>
  </si>
  <si>
    <t>91</t>
  </si>
  <si>
    <t>Základ 21%</t>
  </si>
  <si>
    <t>20</t>
  </si>
  <si>
    <t>460030111R00</t>
  </si>
  <si>
    <t>Výsadba dřevin s balem D do 20 cm, v rovině</t>
  </si>
  <si>
    <t>Dodávka</t>
  </si>
  <si>
    <t>NUS celkem z obj.</t>
  </si>
  <si>
    <t>183205113R00</t>
  </si>
  <si>
    <t>Náklady (Kč) - celkem</t>
  </si>
  <si>
    <t>Rozprostření ornice, svah, tl. 15-20 cm, do 500 m2</t>
  </si>
  <si>
    <t>Ostatní materiál</t>
  </si>
  <si>
    <t>48</t>
  </si>
  <si>
    <t>29</t>
  </si>
  <si>
    <t>Plochy a úpravy území</t>
  </si>
  <si>
    <t>Č</t>
  </si>
  <si>
    <t>10371500</t>
  </si>
  <si>
    <t>Dovoz vody pro zálivku rostlin do 6 km</t>
  </si>
  <si>
    <t>Cibuloviny mix</t>
  </si>
  <si>
    <t>Osazení stojat. obrub.bet. s opěrou,lože z C 12/15</t>
  </si>
  <si>
    <t>Poznámka:</t>
  </si>
  <si>
    <t>Lokalita:</t>
  </si>
  <si>
    <t>183101115R00</t>
  </si>
  <si>
    <t>16</t>
  </si>
  <si>
    <t>PSV</t>
  </si>
  <si>
    <t>24</t>
  </si>
  <si>
    <t>Bez pevné podl.</t>
  </si>
  <si>
    <t>Celkem</t>
  </si>
  <si>
    <t>Zařízení staveniště</t>
  </si>
  <si>
    <t>11_</t>
  </si>
  <si>
    <t>1_</t>
  </si>
  <si>
    <t>183101114R00</t>
  </si>
  <si>
    <t>4</t>
  </si>
  <si>
    <t>60</t>
  </si>
  <si>
    <t>Základní rozpočtové náklady</t>
  </si>
  <si>
    <t>132200012RAD</t>
  </si>
  <si>
    <t>26</t>
  </si>
  <si>
    <t>Ornice pro pozemkové úpravy</t>
  </si>
  <si>
    <t>Kácení stromů průměru do 30 cm</t>
  </si>
  <si>
    <t>Celkem bez DPH</t>
  </si>
  <si>
    <t>Hloubení nezapaž.rýh šířky do 200 cm v hornině 1-4</t>
  </si>
  <si>
    <t>132200010RAD</t>
  </si>
  <si>
    <t>2_</t>
  </si>
  <si>
    <t>Vodorovné přemístění pařezů  D 30 cm do 5000 m</t>
  </si>
  <si>
    <t>6</t>
  </si>
  <si>
    <t>Rozpočtové náklady v Kč</t>
  </si>
  <si>
    <t>Rozebrání dlažeb z betonových dlaždic</t>
  </si>
  <si>
    <t>Výsadba dřevin s balem D do 50 cm, v rovině</t>
  </si>
  <si>
    <t>Zásyp jam po pařezech D 30 cm</t>
  </si>
  <si>
    <t>D+M stojanu na kola</t>
  </si>
  <si>
    <t>B</t>
  </si>
  <si>
    <t>Náklady na umístění stavby (NUS)</t>
  </si>
  <si>
    <t>42</t>
  </si>
  <si>
    <t>Montáž</t>
  </si>
  <si>
    <t>Datum, razítko a podpis</t>
  </si>
  <si>
    <t>ZRN celkem</t>
  </si>
  <si>
    <t>Traviny mix</t>
  </si>
  <si>
    <t>58380155</t>
  </si>
  <si>
    <t>Z99999_</t>
  </si>
  <si>
    <t>33</t>
  </si>
  <si>
    <t>D+M betonové kostky (dělící prvek)</t>
  </si>
  <si>
    <t>Kamenivo drcené 8/16</t>
  </si>
  <si>
    <t>DPH 15%</t>
  </si>
  <si>
    <t>Hloubení nezapaž. rýh šířky do 60 cm v hornině 1-4</t>
  </si>
  <si>
    <t>Krycí list slepého rozpočtu</t>
  </si>
  <si>
    <t>Výsadba cibulí nebo hlíz</t>
  </si>
  <si>
    <t>162301411R00</t>
  </si>
  <si>
    <t>184921093R00</t>
  </si>
  <si>
    <t>25</t>
  </si>
  <si>
    <t>kus</t>
  </si>
  <si>
    <t>596911111R00</t>
  </si>
  <si>
    <t>Dodávky</t>
  </si>
  <si>
    <t>soustava</t>
  </si>
  <si>
    <t>Podklad ze štěrkodrti po zhutnění tloušťky 4 cm</t>
  </si>
  <si>
    <t>Poplatek za uložení odpadního štěrku a kameniva, skupina odpadu 010408</t>
  </si>
  <si>
    <t>Ostatní mat.</t>
  </si>
  <si>
    <t>Cenová</t>
  </si>
  <si>
    <t>HSV prac</t>
  </si>
  <si>
    <t>Odstranění asfaltové vrstvy pl. do 50 m2, tl.15 cm</t>
  </si>
  <si>
    <t>182301123R00</t>
  </si>
  <si>
    <t>13</t>
  </si>
  <si>
    <t>174201201R00</t>
  </si>
  <si>
    <t>Zřízení vrstvy z geotextilie skl.do 1:5, š.do 3 m</t>
  </si>
  <si>
    <t>"M"</t>
  </si>
  <si>
    <t>Cena/MJ</t>
  </si>
  <si>
    <t>Konec výstavby:</t>
  </si>
  <si>
    <t>Geotextilie netkaná černá zahradnická 50 g/m2</t>
  </si>
  <si>
    <t>184102111R00</t>
  </si>
  <si>
    <t>Kód</t>
  </si>
  <si>
    <t>S</t>
  </si>
  <si>
    <t>43</t>
  </si>
  <si>
    <t>00001VD</t>
  </si>
  <si>
    <t>Úprava podloží a základové spáry</t>
  </si>
  <si>
    <t>soubor</t>
  </si>
  <si>
    <t>MJ</t>
  </si>
  <si>
    <t>45</t>
  </si>
  <si>
    <t>40</t>
  </si>
  <si>
    <t>Kostka dlažební velká  15 -17 cm   1t=2,5m2</t>
  </si>
  <si>
    <t>9_</t>
  </si>
  <si>
    <t>Doplňující konstrukce a práce na pozemních komunikacích a zpevněných plochách</t>
  </si>
  <si>
    <t>Doplňkové náklady</t>
  </si>
  <si>
    <t>PSV prac</t>
  </si>
  <si>
    <t>HSV</t>
  </si>
  <si>
    <t>10391100</t>
  </si>
  <si>
    <t>9</t>
  </si>
  <si>
    <t>Kamenivo drcené 16/32</t>
  </si>
  <si>
    <t>15</t>
  </si>
  <si>
    <t>Nakládání vybour.hmot na dop.prostředky-komunikace</t>
  </si>
  <si>
    <t>ISWORK</t>
  </si>
  <si>
    <t>Celkem včetně DPH</t>
  </si>
  <si>
    <t>Základ 0%</t>
  </si>
  <si>
    <t>S_</t>
  </si>
  <si>
    <t>52</t>
  </si>
  <si>
    <t>Ukotvení dřeviny kůly D do 10 cm, dl. do 3 m</t>
  </si>
  <si>
    <t>184808325R00</t>
  </si>
  <si>
    <t>51</t>
  </si>
  <si>
    <t>Přesuny sutí</t>
  </si>
  <si>
    <t>Mont prac</t>
  </si>
  <si>
    <t>44</t>
  </si>
  <si>
    <t>Příplatek k odvozu za každý další 1 km</t>
  </si>
  <si>
    <t>23</t>
  </si>
  <si>
    <t>Rozprostření substrátu, rovina, tl. 10-15 cm,do 500m2</t>
  </si>
  <si>
    <t>H23</t>
  </si>
  <si>
    <t>59</t>
  </si>
  <si>
    <t>Krnov</t>
  </si>
  <si>
    <t>t</t>
  </si>
  <si>
    <t> </t>
  </si>
  <si>
    <t>583425651</t>
  </si>
  <si>
    <t>53</t>
  </si>
  <si>
    <t>004118VD</t>
  </si>
  <si>
    <t>Tableta hnojivo</t>
  </si>
  <si>
    <t>JKSO:</t>
  </si>
  <si>
    <t>113108315R00</t>
  </si>
  <si>
    <t>18_</t>
  </si>
  <si>
    <t>Náklady (Kč) - dodávka</t>
  </si>
  <si>
    <t>Šlapák betonový 250x1000mm</t>
  </si>
  <si>
    <t>181301102R00</t>
  </si>
  <si>
    <t>DN celkem</t>
  </si>
  <si>
    <t>GROUPCODE</t>
  </si>
  <si>
    <t>0</t>
  </si>
  <si>
    <t>69381111</t>
  </si>
  <si>
    <t>Provozní vlivy</t>
  </si>
  <si>
    <t>5</t>
  </si>
  <si>
    <t>Druh stavby:</t>
  </si>
  <si>
    <t>Přípravné a přidružené práce</t>
  </si>
  <si>
    <t>Zpracováno dne:</t>
  </si>
  <si>
    <t>564811111R00</t>
  </si>
  <si>
    <t>Podklad z mechanicky zpevněného kameniva tl. 10 cm</t>
  </si>
  <si>
    <t>D+M odpadkového koše</t>
  </si>
  <si>
    <t>10</t>
  </si>
  <si>
    <t>58</t>
  </si>
  <si>
    <t>36</t>
  </si>
  <si>
    <t>M46</t>
  </si>
  <si>
    <t>Zhutnění podloží z hornin nesoudržných do 92% PS</t>
  </si>
  <si>
    <t>14</t>
  </si>
  <si>
    <t>31</t>
  </si>
  <si>
    <t>004117VD</t>
  </si>
  <si>
    <t>Množství</t>
  </si>
  <si>
    <t>5_</t>
  </si>
  <si>
    <t>38</t>
  </si>
  <si>
    <t>Všeobecné konstrukce a práce</t>
  </si>
  <si>
    <t>21_</t>
  </si>
  <si>
    <t>Typ skupiny</t>
  </si>
  <si>
    <t>58333664</t>
  </si>
  <si>
    <t>Přesun hmot pro sadovnické a krajin. úpravy do 5km</t>
  </si>
  <si>
    <t>Zemní práce při montážích</t>
  </si>
  <si>
    <t>Kůra mulčovací VL</t>
  </si>
  <si>
    <t>56</t>
  </si>
  <si>
    <t>979089001R00</t>
  </si>
  <si>
    <t>19</t>
  </si>
  <si>
    <t>Zalití rostlin vodou plochy nad 20 m2</t>
  </si>
  <si>
    <t>C</t>
  </si>
  <si>
    <t>Náklady (Kč)</t>
  </si>
  <si>
    <t>215901101RT5</t>
  </si>
  <si>
    <t>39</t>
  </si>
  <si>
    <t>30</t>
  </si>
  <si>
    <t>IČO/DIČ:</t>
  </si>
  <si>
    <t>Ostatní</t>
  </si>
  <si>
    <t>183101111R00</t>
  </si>
  <si>
    <t>979081121R00</t>
  </si>
  <si>
    <t>Kamenivo těžené frakce 8-16 kačírek praný VL</t>
  </si>
  <si>
    <t>55</t>
  </si>
  <si>
    <t>Zpracoval:</t>
  </si>
  <si>
    <t>916581112R00</t>
  </si>
  <si>
    <t>D+M informačního panelu</t>
  </si>
  <si>
    <t>Podkladní vrstvy komunikací, letišť a ploch</t>
  </si>
  <si>
    <t>Gingko biloba, Dtbal, OK 14-16</t>
  </si>
  <si>
    <t>Kladení dlažby velké kostky,lože z kamen.tl. 5 cm</t>
  </si>
  <si>
    <t>162702292R00</t>
  </si>
  <si>
    <t>Zhotovitel</t>
  </si>
  <si>
    <t>2</t>
  </si>
  <si>
    <t>Projektant:</t>
  </si>
  <si>
    <t>ORN celkem</t>
  </si>
  <si>
    <t/>
  </si>
  <si>
    <t>17</t>
  </si>
  <si>
    <t>00811VD</t>
  </si>
  <si>
    <t>21</t>
  </si>
  <si>
    <t>184102114R00</t>
  </si>
  <si>
    <t>Práce přesčas</t>
  </si>
  <si>
    <t>61</t>
  </si>
  <si>
    <t>568111111R00</t>
  </si>
  <si>
    <t>12</t>
  </si>
  <si>
    <t>185851111R00</t>
  </si>
  <si>
    <t>Kulturní památka</t>
  </si>
  <si>
    <t>Objekt</t>
  </si>
  <si>
    <t>DPH 21%</t>
  </si>
  <si>
    <t>Poplatek za skládku: větve a kulatiny</t>
  </si>
  <si>
    <t>Hloub. jamek bez výměny půdy do 0,125 m3, sv.1:5</t>
  </si>
  <si>
    <t>Kladení šlapáků do lože v rovině</t>
  </si>
  <si>
    <t>979087213R00</t>
  </si>
  <si>
    <t>591111111R00</t>
  </si>
  <si>
    <t>_</t>
  </si>
  <si>
    <t>ORN celkem z obj.</t>
  </si>
  <si>
    <t>H23_</t>
  </si>
  <si>
    <t>49</t>
  </si>
  <si>
    <t>Přesuny</t>
  </si>
  <si>
    <t>MAT</t>
  </si>
  <si>
    <t>Carpinus betulus, KO, vel.60 cm</t>
  </si>
  <si>
    <t>8</t>
  </si>
  <si>
    <t>Celkem:</t>
  </si>
  <si>
    <t>Mimostav. doprava</t>
  </si>
  <si>
    <t>18</t>
  </si>
  <si>
    <t>DN celkem z obj.</t>
  </si>
  <si>
    <t>583426851</t>
  </si>
  <si>
    <t>46</t>
  </si>
  <si>
    <t>Hnojení ostatních dřevin hnoj. do 0,5 kg/1saz</t>
  </si>
  <si>
    <t>004116VD</t>
  </si>
  <si>
    <t>50</t>
  </si>
  <si>
    <t>Výsadba dřevin s balem D do 10 cm, v rovině</t>
  </si>
  <si>
    <t>m</t>
  </si>
  <si>
    <t>Slepý stavební rozpočet - rekapitulace</t>
  </si>
  <si>
    <t>11</t>
  </si>
  <si>
    <t>RTS II / 2022</t>
  </si>
  <si>
    <t>32</t>
  </si>
  <si>
    <t>Objednatel:</t>
  </si>
  <si>
    <t>PSV mat</t>
  </si>
  <si>
    <t>Potřebné množství</t>
  </si>
  <si>
    <t>3</t>
  </si>
  <si>
    <t>183101112R00</t>
  </si>
  <si>
    <t>183403111R00</t>
  </si>
  <si>
    <t>Zhotovitel:</t>
  </si>
  <si>
    <t>M46_</t>
  </si>
  <si>
    <t>0_</t>
  </si>
  <si>
    <t>113106121R00</t>
  </si>
  <si>
    <t>35</t>
  </si>
  <si>
    <t>Začátek výstavby:</t>
  </si>
  <si>
    <t>A</t>
  </si>
  <si>
    <t>185804312R00</t>
  </si>
  <si>
    <t>Mont mat</t>
  </si>
  <si>
    <t>13_</t>
  </si>
  <si>
    <t>Mulčování rostlin tl. do 0,1 m rovina</t>
  </si>
  <si>
    <t>Slepý stavební rozpočet</t>
  </si>
  <si>
    <t>Vod.přemístění kmenů listnatých, D 30cm  do 5000 m</t>
  </si>
  <si>
    <t>54</t>
  </si>
  <si>
    <t>Z_</t>
  </si>
  <si>
    <t xml:space="preserve"> </t>
  </si>
  <si>
    <t>09.10.2023</t>
  </si>
  <si>
    <t>0001010VD</t>
  </si>
  <si>
    <t>Kryty pozemních komunikací, letišť a ploch dlážděných (předlažby)</t>
  </si>
  <si>
    <t>Acer platanoides, Dtbal, OK 14-16</t>
  </si>
  <si>
    <t>Hloub. jamek bez výměny půdy do 0,4 m3, svah 1:5</t>
  </si>
  <si>
    <t>Objednatel</t>
  </si>
  <si>
    <t>57</t>
  </si>
  <si>
    <t>Osazení ocel. zahradního obrubníku</t>
  </si>
  <si>
    <t>(Kč)</t>
  </si>
  <si>
    <t>22</t>
  </si>
  <si>
    <t>Územní vlivy</t>
  </si>
  <si>
    <t>998231311R00</t>
  </si>
  <si>
    <t>008121VD</t>
  </si>
  <si>
    <t>m3</t>
  </si>
  <si>
    <t>T</t>
  </si>
  <si>
    <t>Datum:</t>
  </si>
  <si>
    <t>91_</t>
  </si>
  <si>
    <t>27</t>
  </si>
  <si>
    <t>37</t>
  </si>
  <si>
    <t>m2</t>
  </si>
  <si>
    <t>41</t>
  </si>
  <si>
    <t>59_</t>
  </si>
  <si>
    <t>Hloub. jamek bez výměny půdy do 0,01 m3, svah 1:5</t>
  </si>
  <si>
    <t>Přesun hmot a sutí</t>
  </si>
  <si>
    <t>Odstranění stávajícího zábradlí</t>
  </si>
  <si>
    <t>NUS z rozpočtu</t>
  </si>
  <si>
    <t>10364200</t>
  </si>
  <si>
    <t>Výkaz výměr</t>
  </si>
  <si>
    <t>008001VD</t>
  </si>
  <si>
    <t>1</t>
  </si>
  <si>
    <t>7</t>
  </si>
  <si>
    <t>Substrát zahradnický B  VL</t>
  </si>
  <si>
    <t>Rozměry</t>
  </si>
  <si>
    <t>Položek:</t>
  </si>
  <si>
    <t>NUS celkem</t>
  </si>
  <si>
    <t>WORK</t>
  </si>
  <si>
    <t>Povrchové úpravy terénu</t>
  </si>
  <si>
    <t>47</t>
  </si>
  <si>
    <t>HSV mat</t>
  </si>
  <si>
    <t>917862111RT5</t>
  </si>
  <si>
    <t>56_</t>
  </si>
  <si>
    <t>Hloub. jamek bez výměny půdy do 0,02 m3, svah 1:5</t>
  </si>
  <si>
    <t>Voda nečištěná - stočné</t>
  </si>
  <si>
    <t>564932111R00</t>
  </si>
  <si>
    <t>004120VD</t>
  </si>
  <si>
    <t>184202112R00</t>
  </si>
  <si>
    <t>162301421R00</t>
  </si>
  <si>
    <t>Zkrácený popis</t>
  </si>
  <si>
    <t>Obdělání půdy nakopáním do 10 cm v rovině</t>
  </si>
  <si>
    <t>28</t>
  </si>
  <si>
    <t>004119VD</t>
  </si>
  <si>
    <t>CELK</t>
  </si>
  <si>
    <t>34</t>
  </si>
  <si>
    <t>62</t>
  </si>
  <si>
    <t>Trvalky mix</t>
  </si>
  <si>
    <t>Obruba ocelová</t>
  </si>
  <si>
    <t>Náklady (Kč) - Montáž</t>
  </si>
  <si>
    <t>Veřejné prostranství náměstí Hrdinů, Krnov – nestavební zásahy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</si>
</sst>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00\ &quot;Kč&quot;_);\-#,##0.00\ &quot;Kč&quot;"/>
    <numFmt numFmtId="165" formatCode="#,##0\ &quot;Kč&quot;_);\-#,##0\ &quot;Kč&quot;"/>
    <numFmt numFmtId="166" formatCode="#,##0\ &quot;Kč&quot;_);[Red]\-#,##0\ &quot;Kč&quot;"/>
    <numFmt numFmtId="167" formatCode="#,##0.00\ &quot;Kč&quot;_);[Red]\-#,##0.00\ &quot;Kč&quot;"/>
    <numFmt numFmtId="168" formatCode="_(* #,##0\ _);_(\-* #,##0\ ;_(* &quot;-&quot;\ _);_(@_)"/>
    <numFmt numFmtId="169" formatCode="_(* #,##0\ &quot;Kč&quot;_);_(\-* #,##0\ &quot;Kč&quot;;_(* &quot;-&quot;\ &quot;Kč&quot;_);_(@_)"/>
    <numFmt numFmtId="170" formatCode="_(* #,##0.00\ &quot;Kč&quot;_);_(\-* #,##0.00\ &quot;Kč&quot;;_(* &quot;-&quot;??\ &quot;Kč&quot;_);_(@_)"/>
    <numFmt numFmtId="171" formatCode="_(* #,##0.00\ _);_(\-* #,##0.00\ ;_(* &quot;-&quot;??\ 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</numFmts>
  <fonts count="54">
    <font>
      <sz val="8"/>
      <name val="Arial"/>
      <family val="0"/>
    </font>
    <font>
      <sz val="11"/>
      <name val="Calibri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i/>
      <sz val="8"/>
      <color indexed="8"/>
      <name val="Arial"/>
      <family val="0"/>
    </font>
    <font>
      <b/>
      <sz val="20"/>
      <color indexed="8"/>
      <name val="Arial"/>
      <family val="0"/>
    </font>
    <font>
      <sz val="18"/>
      <color indexed="8"/>
      <name val="Arial"/>
      <family val="0"/>
    </font>
    <font>
      <b/>
      <sz val="18"/>
      <color indexed="8"/>
      <name val="Arial"/>
      <family val="0"/>
    </font>
    <font>
      <b/>
      <sz val="11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0000"/>
      <name val="Arial"/>
      <family val="0"/>
    </font>
    <font>
      <sz val="12"/>
      <color rgb="FF000000"/>
      <name val="Arial"/>
      <family val="0"/>
    </font>
    <font>
      <b/>
      <sz val="12"/>
      <color rgb="FF000000"/>
      <name val="Arial"/>
      <family val="0"/>
    </font>
    <font>
      <b/>
      <sz val="10"/>
      <color rgb="FF000000"/>
      <name val="Arial"/>
      <family val="0"/>
    </font>
    <font>
      <i/>
      <sz val="8"/>
      <color rgb="FF000000"/>
      <name val="Arial"/>
      <family val="0"/>
    </font>
    <font>
      <b/>
      <sz val="20"/>
      <color rgb="FF000000"/>
      <name val="Arial"/>
      <family val="0"/>
    </font>
    <font>
      <sz val="18"/>
      <color rgb="FF000000"/>
      <name val="Arial"/>
      <family val="0"/>
    </font>
    <font>
      <b/>
      <sz val="11"/>
      <color rgb="FF000000"/>
      <name val="Arial"/>
      <family val="0"/>
    </font>
    <font>
      <b/>
      <sz val="18"/>
      <color rgb="FF000000"/>
      <name val="Arial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0C0C0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/>
      <bottom style="medium">
        <color rgb="FF000000"/>
      </bottom>
    </border>
    <border>
      <left/>
      <right style="thin">
        <color rgb="FF000000"/>
      </right>
      <top>
        <color rgb="FF000000"/>
      </top>
      <bottom/>
    </border>
    <border>
      <left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>
        <color rgb="FF000000"/>
      </left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>
        <color rgb="FF000000"/>
      </left>
      <right/>
      <top style="thin">
        <color rgb="FF000000"/>
      </top>
      <bottom style="thin">
        <color rgb="FF000000"/>
      </bottom>
    </border>
  </borders>
  <cellStyleXfs count="61">
    <xf numFmtId="0" fontId="0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15">
    <xf numFmtId="0" fontId="1" fillId="0" borderId="0" xfId="0" applyNumberFormat="1" applyFont="1" applyFill="1" applyBorder="1" applyAlignment="1" applyProtection="1">
      <alignment/>
      <protection/>
    </xf>
    <xf numFmtId="0" fontId="45" fillId="0" borderId="0" xfId="0" applyNumberFormat="1" applyFont="1" applyFill="1" applyBorder="1" applyAlignment="1" applyProtection="1">
      <alignment horizontal="left" vertical="center"/>
      <protection/>
    </xf>
    <xf numFmtId="0" fontId="45" fillId="0" borderId="10" xfId="0" applyNumberFormat="1" applyFont="1" applyFill="1" applyBorder="1" applyAlignment="1" applyProtection="1">
      <alignment horizontal="left" vertical="center"/>
      <protection/>
    </xf>
    <xf numFmtId="0" fontId="46" fillId="0" borderId="11" xfId="0" applyNumberFormat="1" applyFont="1" applyFill="1" applyBorder="1" applyAlignment="1" applyProtection="1">
      <alignment horizontal="right" vertical="center"/>
      <protection/>
    </xf>
    <xf numFmtId="4" fontId="47" fillId="33" borderId="12" xfId="0" applyNumberFormat="1" applyFont="1" applyFill="1" applyBorder="1" applyAlignment="1" applyProtection="1">
      <alignment horizontal="right" vertical="center"/>
      <protection/>
    </xf>
    <xf numFmtId="0" fontId="45" fillId="0" borderId="13" xfId="0" applyNumberFormat="1" applyFont="1" applyFill="1" applyBorder="1" applyAlignment="1" applyProtection="1">
      <alignment horizontal="left" vertical="center"/>
      <protection/>
    </xf>
    <xf numFmtId="0" fontId="48" fillId="0" borderId="14" xfId="0" applyNumberFormat="1" applyFont="1" applyFill="1" applyBorder="1" applyAlignment="1" applyProtection="1">
      <alignment horizontal="left" vertical="center"/>
      <protection/>
    </xf>
    <xf numFmtId="0" fontId="48" fillId="0" borderId="15" xfId="0" applyNumberFormat="1" applyFont="1" applyFill="1" applyBorder="1" applyAlignment="1" applyProtection="1">
      <alignment horizontal="right" vertical="center"/>
      <protection/>
    </xf>
    <xf numFmtId="0" fontId="48" fillId="0" borderId="16" xfId="0" applyNumberFormat="1" applyFont="1" applyFill="1" applyBorder="1" applyAlignment="1" applyProtection="1">
      <alignment horizontal="left" vertical="center"/>
      <protection/>
    </xf>
    <xf numFmtId="0" fontId="48" fillId="0" borderId="17" xfId="0" applyNumberFormat="1" applyFont="1" applyFill="1" applyBorder="1" applyAlignment="1" applyProtection="1">
      <alignment horizontal="center" vertical="center"/>
      <protection/>
    </xf>
    <xf numFmtId="0" fontId="48" fillId="33" borderId="18" xfId="0" applyNumberFormat="1" applyFont="1" applyFill="1" applyBorder="1" applyAlignment="1" applyProtection="1">
      <alignment horizontal="right" vertical="center"/>
      <protection/>
    </xf>
    <xf numFmtId="0" fontId="48" fillId="0" borderId="19" xfId="0" applyNumberFormat="1" applyFont="1" applyFill="1" applyBorder="1" applyAlignment="1" applyProtection="1">
      <alignment horizontal="center" vertical="center"/>
      <protection/>
    </xf>
    <xf numFmtId="0" fontId="48" fillId="33" borderId="0" xfId="0" applyNumberFormat="1" applyFont="1" applyFill="1" applyBorder="1" applyAlignment="1" applyProtection="1">
      <alignment horizontal="right" vertical="center"/>
      <protection/>
    </xf>
    <xf numFmtId="0" fontId="48" fillId="33" borderId="0" xfId="0" applyNumberFormat="1" applyFont="1" applyFill="1" applyBorder="1" applyAlignment="1" applyProtection="1">
      <alignment horizontal="left" vertical="center"/>
      <protection/>
    </xf>
    <xf numFmtId="4" fontId="46" fillId="0" borderId="12" xfId="0" applyNumberFormat="1" applyFont="1" applyFill="1" applyBorder="1" applyAlignment="1" applyProtection="1">
      <alignment horizontal="right" vertical="center"/>
      <protection/>
    </xf>
    <xf numFmtId="0" fontId="48" fillId="0" borderId="0" xfId="0" applyNumberFormat="1" applyFont="1" applyFill="1" applyBorder="1" applyAlignment="1" applyProtection="1">
      <alignment horizontal="left" vertical="center"/>
      <protection/>
    </xf>
    <xf numFmtId="0" fontId="48" fillId="33" borderId="18" xfId="0" applyNumberFormat="1" applyFont="1" applyFill="1" applyBorder="1" applyAlignment="1" applyProtection="1">
      <alignment horizontal="right" vertical="center"/>
      <protection/>
    </xf>
    <xf numFmtId="0" fontId="46" fillId="0" borderId="11" xfId="0" applyNumberFormat="1" applyFont="1" applyFill="1" applyBorder="1" applyAlignment="1" applyProtection="1">
      <alignment horizontal="left" vertical="center"/>
      <protection/>
    </xf>
    <xf numFmtId="4" fontId="48" fillId="33" borderId="0" xfId="0" applyNumberFormat="1" applyFont="1" applyFill="1" applyBorder="1" applyAlignment="1" applyProtection="1">
      <alignment horizontal="right" vertical="center"/>
      <protection/>
    </xf>
    <xf numFmtId="0" fontId="45" fillId="0" borderId="0" xfId="0" applyNumberFormat="1" applyFont="1" applyFill="1" applyBorder="1" applyAlignment="1" applyProtection="1">
      <alignment horizontal="right" vertical="center"/>
      <protection/>
    </xf>
    <xf numFmtId="4" fontId="45" fillId="0" borderId="0" xfId="0" applyNumberFormat="1" applyFont="1" applyFill="1" applyBorder="1" applyAlignment="1" applyProtection="1">
      <alignment horizontal="right" vertical="center"/>
      <protection/>
    </xf>
    <xf numFmtId="0" fontId="48" fillId="0" borderId="13" xfId="0" applyNumberFormat="1" applyFont="1" applyFill="1" applyBorder="1" applyAlignment="1" applyProtection="1">
      <alignment horizontal="center" vertical="center"/>
      <protection/>
    </xf>
    <xf numFmtId="0" fontId="48" fillId="0" borderId="20" xfId="0" applyNumberFormat="1" applyFont="1" applyFill="1" applyBorder="1" applyAlignment="1" applyProtection="1">
      <alignment horizontal="center" vertical="center"/>
      <protection/>
    </xf>
    <xf numFmtId="0" fontId="45" fillId="0" borderId="21" xfId="0" applyNumberFormat="1" applyFont="1" applyFill="1" applyBorder="1" applyAlignment="1" applyProtection="1">
      <alignment horizontal="left" vertical="center"/>
      <protection/>
    </xf>
    <xf numFmtId="4" fontId="48" fillId="0" borderId="0" xfId="0" applyNumberFormat="1" applyFont="1" applyFill="1" applyBorder="1" applyAlignment="1" applyProtection="1">
      <alignment horizontal="right" vertical="center"/>
      <protection/>
    </xf>
    <xf numFmtId="0" fontId="48" fillId="0" borderId="22" xfId="0" applyNumberFormat="1" applyFont="1" applyFill="1" applyBorder="1" applyAlignment="1" applyProtection="1">
      <alignment horizontal="left" vertical="center"/>
      <protection/>
    </xf>
    <xf numFmtId="0" fontId="47" fillId="0" borderId="23" xfId="0" applyNumberFormat="1" applyFont="1" applyFill="1" applyBorder="1" applyAlignment="1" applyProtection="1">
      <alignment horizontal="left" vertical="center"/>
      <protection/>
    </xf>
    <xf numFmtId="4" fontId="48" fillId="33" borderId="0" xfId="0" applyNumberFormat="1" applyFont="1" applyFill="1" applyBorder="1" applyAlignment="1" applyProtection="1">
      <alignment horizontal="right" vertical="center"/>
      <protection/>
    </xf>
    <xf numFmtId="4" fontId="46" fillId="0" borderId="18" xfId="0" applyNumberFormat="1" applyFont="1" applyFill="1" applyBorder="1" applyAlignment="1" applyProtection="1">
      <alignment horizontal="right" vertical="center"/>
      <protection/>
    </xf>
    <xf numFmtId="0" fontId="46" fillId="0" borderId="18" xfId="0" applyNumberFormat="1" applyFont="1" applyFill="1" applyBorder="1" applyAlignment="1" applyProtection="1">
      <alignment horizontal="right" vertical="center"/>
      <protection/>
    </xf>
    <xf numFmtId="0" fontId="48" fillId="0" borderId="24" xfId="0" applyNumberFormat="1" applyFont="1" applyFill="1" applyBorder="1" applyAlignment="1" applyProtection="1">
      <alignment horizontal="left" vertical="center"/>
      <protection/>
    </xf>
    <xf numFmtId="4" fontId="45" fillId="0" borderId="10" xfId="0" applyNumberFormat="1" applyFont="1" applyFill="1" applyBorder="1" applyAlignment="1" applyProtection="1">
      <alignment horizontal="right" vertical="center"/>
      <protection/>
    </xf>
    <xf numFmtId="0" fontId="48" fillId="0" borderId="25" xfId="0" applyNumberFormat="1" applyFont="1" applyFill="1" applyBorder="1" applyAlignment="1" applyProtection="1">
      <alignment horizontal="left" vertical="center"/>
      <protection/>
    </xf>
    <xf numFmtId="0" fontId="49" fillId="0" borderId="0" xfId="0" applyNumberFormat="1" applyFont="1" applyFill="1" applyBorder="1" applyAlignment="1" applyProtection="1">
      <alignment horizontal="left" vertical="center"/>
      <protection/>
    </xf>
    <xf numFmtId="0" fontId="48" fillId="0" borderId="14" xfId="0" applyNumberFormat="1" applyFont="1" applyFill="1" applyBorder="1" applyAlignment="1" applyProtection="1">
      <alignment horizontal="center" vertical="center"/>
      <protection/>
    </xf>
    <xf numFmtId="0" fontId="48" fillId="0" borderId="26" xfId="0" applyNumberFormat="1" applyFont="1" applyFill="1" applyBorder="1" applyAlignment="1" applyProtection="1">
      <alignment horizontal="center" vertical="center"/>
      <protection/>
    </xf>
    <xf numFmtId="0" fontId="45" fillId="0" borderId="27" xfId="0" applyNumberFormat="1" applyFont="1" applyFill="1" applyBorder="1" applyAlignment="1" applyProtection="1">
      <alignment horizontal="left" vertical="center"/>
      <protection/>
    </xf>
    <xf numFmtId="0" fontId="48" fillId="0" borderId="28" xfId="0" applyNumberFormat="1" applyFont="1" applyFill="1" applyBorder="1" applyAlignment="1" applyProtection="1">
      <alignment horizontal="center" vertical="center"/>
      <protection/>
    </xf>
    <xf numFmtId="0" fontId="45" fillId="0" borderId="29" xfId="0" applyNumberFormat="1" applyFont="1" applyFill="1" applyBorder="1" applyAlignment="1" applyProtection="1">
      <alignment horizontal="left" vertical="center"/>
      <protection/>
    </xf>
    <xf numFmtId="0" fontId="48" fillId="0" borderId="30" xfId="0" applyNumberFormat="1" applyFont="1" applyFill="1" applyBorder="1" applyAlignment="1" applyProtection="1">
      <alignment horizontal="left" vertical="center"/>
      <protection/>
    </xf>
    <xf numFmtId="0" fontId="45" fillId="0" borderId="11" xfId="0" applyNumberFormat="1" applyFont="1" applyFill="1" applyBorder="1" applyAlignment="1" applyProtection="1">
      <alignment horizontal="right" vertical="center"/>
      <protection/>
    </xf>
    <xf numFmtId="4" fontId="46" fillId="0" borderId="11" xfId="0" applyNumberFormat="1" applyFont="1" applyFill="1" applyBorder="1" applyAlignment="1" applyProtection="1">
      <alignment horizontal="right" vertical="center"/>
      <protection/>
    </xf>
    <xf numFmtId="0" fontId="50" fillId="33" borderId="12" xfId="0" applyNumberFormat="1" applyFont="1" applyFill="1" applyBorder="1" applyAlignment="1" applyProtection="1">
      <alignment horizontal="center" vertical="center"/>
      <protection/>
    </xf>
    <xf numFmtId="0" fontId="48" fillId="33" borderId="0" xfId="0" applyNumberFormat="1" applyFont="1" applyFill="1" applyBorder="1" applyAlignment="1" applyProtection="1">
      <alignment horizontal="left" vertical="center"/>
      <protection/>
    </xf>
    <xf numFmtId="0" fontId="45" fillId="33" borderId="0" xfId="0" applyNumberFormat="1" applyFont="1" applyFill="1" applyBorder="1" applyAlignment="1" applyProtection="1">
      <alignment horizontal="left" vertical="center"/>
      <protection/>
    </xf>
    <xf numFmtId="0" fontId="48" fillId="0" borderId="0" xfId="0" applyNumberFormat="1" applyFont="1" applyFill="1" applyBorder="1" applyAlignment="1" applyProtection="1">
      <alignment horizontal="right" vertical="center"/>
      <protection/>
    </xf>
    <xf numFmtId="0" fontId="45" fillId="33" borderId="29" xfId="0" applyNumberFormat="1" applyFont="1" applyFill="1" applyBorder="1" applyAlignment="1" applyProtection="1">
      <alignment horizontal="left" vertical="center"/>
      <protection/>
    </xf>
    <xf numFmtId="0" fontId="48" fillId="0" borderId="31" xfId="0" applyNumberFormat="1" applyFont="1" applyFill="1" applyBorder="1" applyAlignment="1" applyProtection="1">
      <alignment horizontal="left" vertical="center"/>
      <protection/>
    </xf>
    <xf numFmtId="4" fontId="47" fillId="33" borderId="11" xfId="0" applyNumberFormat="1" applyFont="1" applyFill="1" applyBorder="1" applyAlignment="1" applyProtection="1">
      <alignment horizontal="right" vertical="center"/>
      <protection/>
    </xf>
    <xf numFmtId="0" fontId="48" fillId="0" borderId="32" xfId="0" applyNumberFormat="1" applyFont="1" applyFill="1" applyBorder="1" applyAlignment="1" applyProtection="1">
      <alignment horizontal="center" vertical="center"/>
      <protection/>
    </xf>
    <xf numFmtId="0" fontId="48" fillId="0" borderId="21" xfId="0" applyNumberFormat="1" applyFont="1" applyFill="1" applyBorder="1" applyAlignment="1" applyProtection="1">
      <alignment horizontal="center" vertical="center"/>
      <protection/>
    </xf>
    <xf numFmtId="4" fontId="46" fillId="0" borderId="13" xfId="0" applyNumberFormat="1" applyFont="1" applyFill="1" applyBorder="1" applyAlignment="1" applyProtection="1">
      <alignment horizontal="right" vertical="center"/>
      <protection/>
    </xf>
    <xf numFmtId="0" fontId="50" fillId="33" borderId="33" xfId="0" applyNumberFormat="1" applyFont="1" applyFill="1" applyBorder="1" applyAlignment="1" applyProtection="1">
      <alignment horizontal="center" vertical="center"/>
      <protection/>
    </xf>
    <xf numFmtId="0" fontId="45" fillId="33" borderId="29" xfId="0" applyNumberFormat="1" applyFont="1" applyFill="1" applyBorder="1" applyAlignment="1" applyProtection="1">
      <alignment horizontal="left" vertical="center"/>
      <protection/>
    </xf>
    <xf numFmtId="0" fontId="45" fillId="0" borderId="18" xfId="0" applyNumberFormat="1" applyFont="1" applyFill="1" applyBorder="1" applyAlignment="1" applyProtection="1">
      <alignment horizontal="right" vertical="center"/>
      <protection/>
    </xf>
    <xf numFmtId="0" fontId="45" fillId="33" borderId="0" xfId="0" applyNumberFormat="1" applyFont="1" applyFill="1" applyBorder="1" applyAlignment="1" applyProtection="1">
      <alignment horizontal="left" vertical="center"/>
      <protection/>
    </xf>
    <xf numFmtId="0" fontId="47" fillId="0" borderId="34" xfId="0" applyNumberFormat="1" applyFont="1" applyFill="1" applyBorder="1" applyAlignment="1" applyProtection="1">
      <alignment horizontal="left" vertical="center"/>
      <protection/>
    </xf>
    <xf numFmtId="0" fontId="45" fillId="0" borderId="0" xfId="0" applyNumberFormat="1" applyFont="1" applyFill="1" applyBorder="1" applyAlignment="1" applyProtection="1">
      <alignment horizontal="left" vertical="center"/>
      <protection/>
    </xf>
    <xf numFmtId="0" fontId="48" fillId="33" borderId="0" xfId="0" applyNumberFormat="1" applyFont="1" applyFill="1" applyBorder="1" applyAlignment="1" applyProtection="1">
      <alignment horizontal="left" vertical="center"/>
      <protection/>
    </xf>
    <xf numFmtId="0" fontId="45" fillId="0" borderId="10" xfId="0" applyNumberFormat="1" applyFont="1" applyFill="1" applyBorder="1" applyAlignment="1" applyProtection="1">
      <alignment horizontal="left" vertical="center"/>
      <protection/>
    </xf>
    <xf numFmtId="0" fontId="48" fillId="0" borderId="0" xfId="0" applyNumberFormat="1" applyFont="1" applyFill="1" applyBorder="1" applyAlignment="1" applyProtection="1">
      <alignment horizontal="left" vertical="center"/>
      <protection/>
    </xf>
    <xf numFmtId="0" fontId="45" fillId="0" borderId="0" xfId="0" applyNumberFormat="1" applyFont="1" applyFill="1" applyBorder="1" applyAlignment="1" applyProtection="1">
      <alignment horizontal="left" vertical="center" wrapText="1"/>
      <protection/>
    </xf>
    <xf numFmtId="0" fontId="48" fillId="0" borderId="19" xfId="0" applyNumberFormat="1" applyFont="1" applyFill="1" applyBorder="1" applyAlignment="1" applyProtection="1">
      <alignment horizontal="left" vertical="center"/>
      <protection/>
    </xf>
    <xf numFmtId="0" fontId="48" fillId="0" borderId="13" xfId="0" applyNumberFormat="1" applyFont="1" applyFill="1" applyBorder="1" applyAlignment="1" applyProtection="1">
      <alignment horizontal="left" vertical="center"/>
      <protection/>
    </xf>
    <xf numFmtId="0" fontId="48" fillId="0" borderId="35" xfId="0" applyNumberFormat="1" applyFont="1" applyFill="1" applyBorder="1" applyAlignment="1" applyProtection="1">
      <alignment horizontal="center" vertical="center"/>
      <protection/>
    </xf>
    <xf numFmtId="0" fontId="48" fillId="0" borderId="15" xfId="0" applyNumberFormat="1" applyFont="1" applyFill="1" applyBorder="1" applyAlignment="1" applyProtection="1">
      <alignment horizontal="center" vertical="center"/>
      <protection/>
    </xf>
    <xf numFmtId="0" fontId="48" fillId="0" borderId="36" xfId="0" applyNumberFormat="1" applyFont="1" applyFill="1" applyBorder="1" applyAlignment="1" applyProtection="1">
      <alignment horizontal="center" vertical="center"/>
      <protection/>
    </xf>
    <xf numFmtId="0" fontId="45" fillId="0" borderId="37" xfId="0" applyNumberFormat="1" applyFont="1" applyFill="1" applyBorder="1" applyAlignment="1" applyProtection="1">
      <alignment horizontal="left" vertical="center"/>
      <protection/>
    </xf>
    <xf numFmtId="0" fontId="45" fillId="0" borderId="38" xfId="0" applyNumberFormat="1" applyFont="1" applyFill="1" applyBorder="1" applyAlignment="1" applyProtection="1">
      <alignment horizontal="left" vertical="center"/>
      <protection/>
    </xf>
    <xf numFmtId="0" fontId="45" fillId="0" borderId="18" xfId="0" applyNumberFormat="1" applyFont="1" applyFill="1" applyBorder="1" applyAlignment="1" applyProtection="1">
      <alignment horizontal="left" vertical="center"/>
      <protection/>
    </xf>
    <xf numFmtId="0" fontId="48" fillId="0" borderId="32" xfId="0" applyNumberFormat="1" applyFont="1" applyFill="1" applyBorder="1" applyAlignment="1" applyProtection="1">
      <alignment horizontal="left" vertical="center"/>
      <protection/>
    </xf>
    <xf numFmtId="0" fontId="48" fillId="0" borderId="14" xfId="0" applyNumberFormat="1" applyFont="1" applyFill="1" applyBorder="1" applyAlignment="1" applyProtection="1">
      <alignment horizontal="left" vertical="center"/>
      <protection/>
    </xf>
    <xf numFmtId="0" fontId="48" fillId="0" borderId="37" xfId="0" applyNumberFormat="1" applyFont="1" applyFill="1" applyBorder="1" applyAlignment="1" applyProtection="1">
      <alignment horizontal="left" vertical="center" wrapText="1"/>
      <protection/>
    </xf>
    <xf numFmtId="0" fontId="48" fillId="0" borderId="37" xfId="0" applyNumberFormat="1" applyFont="1" applyFill="1" applyBorder="1" applyAlignment="1" applyProtection="1">
      <alignment horizontal="left" vertical="center"/>
      <protection/>
    </xf>
    <xf numFmtId="0" fontId="51" fillId="0" borderId="0" xfId="0" applyNumberFormat="1" applyFont="1" applyFill="1" applyBorder="1" applyAlignment="1" applyProtection="1">
      <alignment horizontal="center" vertical="center"/>
      <protection/>
    </xf>
    <xf numFmtId="0" fontId="45" fillId="0" borderId="39" xfId="0" applyNumberFormat="1" applyFont="1" applyFill="1" applyBorder="1" applyAlignment="1" applyProtection="1">
      <alignment horizontal="left" vertical="center" wrapText="1"/>
      <protection/>
    </xf>
    <xf numFmtId="0" fontId="45" fillId="0" borderId="29" xfId="0" applyNumberFormat="1" applyFont="1" applyFill="1" applyBorder="1" applyAlignment="1" applyProtection="1">
      <alignment horizontal="left" vertical="center"/>
      <protection/>
    </xf>
    <xf numFmtId="0" fontId="45" fillId="0" borderId="29" xfId="0" applyNumberFormat="1" applyFont="1" applyFill="1" applyBorder="1" applyAlignment="1" applyProtection="1">
      <alignment horizontal="left" vertical="center" wrapText="1"/>
      <protection/>
    </xf>
    <xf numFmtId="0" fontId="45" fillId="0" borderId="37" xfId="0" applyNumberFormat="1" applyFont="1" applyFill="1" applyBorder="1" applyAlignment="1" applyProtection="1">
      <alignment horizontal="left" vertical="center" wrapText="1"/>
      <protection/>
    </xf>
    <xf numFmtId="0" fontId="45" fillId="0" borderId="38" xfId="0" applyNumberFormat="1" applyFont="1" applyFill="1" applyBorder="1" applyAlignment="1" applyProtection="1">
      <alignment horizontal="left" vertical="center" wrapText="1"/>
      <protection/>
    </xf>
    <xf numFmtId="0" fontId="45" fillId="0" borderId="18" xfId="0" applyNumberFormat="1" applyFont="1" applyFill="1" applyBorder="1" applyAlignment="1" applyProtection="1">
      <alignment horizontal="left" vertical="center" wrapText="1"/>
      <protection/>
    </xf>
    <xf numFmtId="0" fontId="48" fillId="0" borderId="15" xfId="0" applyNumberFormat="1" applyFont="1" applyFill="1" applyBorder="1" applyAlignment="1" applyProtection="1">
      <alignment horizontal="left" vertical="center"/>
      <protection/>
    </xf>
    <xf numFmtId="0" fontId="48" fillId="0" borderId="25" xfId="0" applyNumberFormat="1" applyFont="1" applyFill="1" applyBorder="1" applyAlignment="1" applyProtection="1">
      <alignment horizontal="left" vertical="center"/>
      <protection/>
    </xf>
    <xf numFmtId="0" fontId="46" fillId="0" borderId="32" xfId="0" applyNumberFormat="1" applyFont="1" applyFill="1" applyBorder="1" applyAlignment="1" applyProtection="1">
      <alignment horizontal="left" vertical="center"/>
      <protection/>
    </xf>
    <xf numFmtId="0" fontId="46" fillId="0" borderId="20" xfId="0" applyNumberFormat="1" applyFont="1" applyFill="1" applyBorder="1" applyAlignment="1" applyProtection="1">
      <alignment horizontal="left" vertical="center"/>
      <protection/>
    </xf>
    <xf numFmtId="0" fontId="46" fillId="0" borderId="0" xfId="0" applyNumberFormat="1" applyFont="1" applyFill="1" applyBorder="1" applyAlignment="1" applyProtection="1">
      <alignment horizontal="left" vertical="center"/>
      <protection/>
    </xf>
    <xf numFmtId="0" fontId="46" fillId="0" borderId="40" xfId="0" applyNumberFormat="1" applyFont="1" applyFill="1" applyBorder="1" applyAlignment="1" applyProtection="1">
      <alignment horizontal="left" vertical="center"/>
      <protection/>
    </xf>
    <xf numFmtId="0" fontId="46" fillId="0" borderId="19" xfId="0" applyNumberFormat="1" applyFont="1" applyFill="1" applyBorder="1" applyAlignment="1" applyProtection="1">
      <alignment horizontal="left" vertical="center"/>
      <protection/>
    </xf>
    <xf numFmtId="0" fontId="46" fillId="0" borderId="17" xfId="0" applyNumberFormat="1" applyFont="1" applyFill="1" applyBorder="1" applyAlignment="1" applyProtection="1">
      <alignment horizontal="left" vertical="center"/>
      <protection/>
    </xf>
    <xf numFmtId="0" fontId="46" fillId="0" borderId="41" xfId="0" applyNumberFormat="1" applyFont="1" applyFill="1" applyBorder="1" applyAlignment="1" applyProtection="1">
      <alignment horizontal="left" vertical="center"/>
      <protection/>
    </xf>
    <xf numFmtId="0" fontId="46" fillId="0" borderId="42" xfId="0" applyNumberFormat="1" applyFont="1" applyFill="1" applyBorder="1" applyAlignment="1" applyProtection="1">
      <alignment horizontal="left" vertical="center"/>
      <protection/>
    </xf>
    <xf numFmtId="0" fontId="46" fillId="0" borderId="43" xfId="0" applyNumberFormat="1" applyFont="1" applyFill="1" applyBorder="1" applyAlignment="1" applyProtection="1">
      <alignment horizontal="left" vertical="center"/>
      <protection/>
    </xf>
    <xf numFmtId="0" fontId="47" fillId="33" borderId="44" xfId="0" applyNumberFormat="1" applyFont="1" applyFill="1" applyBorder="1" applyAlignment="1" applyProtection="1">
      <alignment horizontal="left" vertical="center"/>
      <protection/>
    </xf>
    <xf numFmtId="0" fontId="47" fillId="33" borderId="45" xfId="0" applyNumberFormat="1" applyFont="1" applyFill="1" applyBorder="1" applyAlignment="1" applyProtection="1">
      <alignment horizontal="left" vertical="center"/>
      <protection/>
    </xf>
    <xf numFmtId="0" fontId="47" fillId="33" borderId="27" xfId="0" applyNumberFormat="1" applyFont="1" applyFill="1" applyBorder="1" applyAlignment="1" applyProtection="1">
      <alignment horizontal="left" vertical="center"/>
      <protection/>
    </xf>
    <xf numFmtId="0" fontId="47" fillId="33" borderId="10" xfId="0" applyNumberFormat="1" applyFont="1" applyFill="1" applyBorder="1" applyAlignment="1" applyProtection="1">
      <alignment horizontal="left" vertical="center"/>
      <protection/>
    </xf>
    <xf numFmtId="0" fontId="46" fillId="0" borderId="10" xfId="0" applyNumberFormat="1" applyFont="1" applyFill="1" applyBorder="1" applyAlignment="1" applyProtection="1">
      <alignment horizontal="left" vertical="center"/>
      <protection/>
    </xf>
    <xf numFmtId="0" fontId="46" fillId="0" borderId="11" xfId="0" applyNumberFormat="1" applyFont="1" applyFill="1" applyBorder="1" applyAlignment="1" applyProtection="1">
      <alignment horizontal="left" vertical="center"/>
      <protection/>
    </xf>
    <xf numFmtId="0" fontId="46" fillId="0" borderId="18" xfId="0" applyNumberFormat="1" applyFont="1" applyFill="1" applyBorder="1" applyAlignment="1" applyProtection="1">
      <alignment horizontal="left" vertical="center"/>
      <protection/>
    </xf>
    <xf numFmtId="0" fontId="47" fillId="0" borderId="45" xfId="0" applyNumberFormat="1" applyFont="1" applyFill="1" applyBorder="1" applyAlignment="1" applyProtection="1">
      <alignment horizontal="left" vertical="center"/>
      <protection/>
    </xf>
    <xf numFmtId="0" fontId="47" fillId="0" borderId="12" xfId="0" applyNumberFormat="1" applyFont="1" applyFill="1" applyBorder="1" applyAlignment="1" applyProtection="1">
      <alignment horizontal="left" vertical="center"/>
      <protection/>
    </xf>
    <xf numFmtId="0" fontId="47" fillId="0" borderId="10" xfId="0" applyNumberFormat="1" applyFont="1" applyFill="1" applyBorder="1" applyAlignment="1" applyProtection="1">
      <alignment horizontal="left" vertical="center"/>
      <protection/>
    </xf>
    <xf numFmtId="0" fontId="47" fillId="0" borderId="11" xfId="0" applyNumberFormat="1" applyFont="1" applyFill="1" applyBorder="1" applyAlignment="1" applyProtection="1">
      <alignment horizontal="left" vertical="center"/>
      <protection/>
    </xf>
    <xf numFmtId="0" fontId="47" fillId="0" borderId="27" xfId="0" applyNumberFormat="1" applyFont="1" applyFill="1" applyBorder="1" applyAlignment="1" applyProtection="1">
      <alignment horizontal="left" vertical="center"/>
      <protection/>
    </xf>
    <xf numFmtId="0" fontId="52" fillId="0" borderId="45" xfId="0" applyNumberFormat="1" applyFont="1" applyFill="1" applyBorder="1" applyAlignment="1" applyProtection="1">
      <alignment horizontal="left" vertical="center"/>
      <protection/>
    </xf>
    <xf numFmtId="0" fontId="52" fillId="0" borderId="12" xfId="0" applyNumberFormat="1" applyFont="1" applyFill="1" applyBorder="1" applyAlignment="1" applyProtection="1">
      <alignment horizontal="left" vertical="center"/>
      <protection/>
    </xf>
    <xf numFmtId="0" fontId="47" fillId="0" borderId="29" xfId="0" applyNumberFormat="1" applyFont="1" applyFill="1" applyBorder="1" applyAlignment="1" applyProtection="1">
      <alignment horizontal="left" vertical="center"/>
      <protection/>
    </xf>
    <xf numFmtId="0" fontId="47" fillId="0" borderId="18" xfId="0" applyNumberFormat="1" applyFont="1" applyFill="1" applyBorder="1" applyAlignment="1" applyProtection="1">
      <alignment horizontal="left" vertical="center"/>
      <protection/>
    </xf>
    <xf numFmtId="0" fontId="47" fillId="0" borderId="44" xfId="0" applyNumberFormat="1" applyFont="1" applyFill="1" applyBorder="1" applyAlignment="1" applyProtection="1">
      <alignment horizontal="left" vertical="center"/>
      <protection/>
    </xf>
    <xf numFmtId="1" fontId="45" fillId="0" borderId="18" xfId="0" applyNumberFormat="1" applyFont="1" applyFill="1" applyBorder="1" applyAlignment="1" applyProtection="1">
      <alignment horizontal="left" vertical="center"/>
      <protection/>
    </xf>
    <xf numFmtId="0" fontId="45" fillId="0" borderId="11" xfId="0" applyNumberFormat="1" applyFont="1" applyFill="1" applyBorder="1" applyAlignment="1" applyProtection="1">
      <alignment horizontal="left" vertical="center"/>
      <protection/>
    </xf>
    <xf numFmtId="0" fontId="53" fillId="0" borderId="0" xfId="0" applyNumberFormat="1" applyFont="1" applyFill="1" applyBorder="1" applyAlignment="1" applyProtection="1">
      <alignment horizontal="center" vertical="center"/>
      <protection/>
    </xf>
    <xf numFmtId="0" fontId="51" fillId="0" borderId="0" xfId="0" applyNumberFormat="1" applyFont="1" applyFill="1" applyBorder="1" applyAlignment="1" applyProtection="1">
      <alignment horizontal="center" vertical="center" wrapText="1"/>
      <protection/>
    </xf>
    <xf numFmtId="0" fontId="45" fillId="0" borderId="27" xfId="0" applyNumberFormat="1" applyFont="1" applyFill="1" applyBorder="1" applyAlignment="1" applyProtection="1">
      <alignment horizontal="left" vertical="center"/>
      <protection/>
    </xf>
    <xf numFmtId="0" fontId="48" fillId="0" borderId="37" xfId="0" applyNumberFormat="1" applyFont="1" applyFill="1" applyBorder="1" applyAlignment="1" applyProtection="1">
      <alignment horizontal="left" vertical="center" wrapText="1"/>
      <protection/>
    </xf>
  </cellXfs>
  <cellStyles count="4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Kontrolní buňka" xfId="36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400050</xdr:colOff>
      <xdr:row>0</xdr:row>
      <xdr:rowOff>666750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95250</xdr:colOff>
      <xdr:row>0</xdr:row>
      <xdr:rowOff>666750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57150</xdr:colOff>
      <xdr:row>0</xdr:row>
      <xdr:rowOff>666750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57150</xdr:colOff>
      <xdr:row>0</xdr:row>
      <xdr:rowOff>666750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88"/>
  <sheetViews>
    <sheetView showOutlineSymbols="0" zoomScalePageLayoutView="0" workbookViewId="0" topLeftCell="A1">
      <pane ySplit="11" topLeftCell="A75" activePane="bottomLeft" state="frozen"/>
      <selection pane="topLeft" activeCell="A88" sqref="A88:M88"/>
      <selection pane="bottomLeft" activeCell="C6" sqref="C6:D7"/>
    </sheetView>
  </sheetViews>
  <sheetFormatPr defaultColWidth="14.16015625" defaultRowHeight="15" customHeight="1"/>
  <cols>
    <col min="1" max="1" width="4.66015625" style="0" customWidth="1"/>
    <col min="2" max="2" width="20.83203125" style="0" customWidth="1"/>
    <col min="3" max="3" width="1.66796875" style="0" customWidth="1"/>
    <col min="4" max="4" width="71.16015625" style="0" customWidth="1"/>
    <col min="5" max="6" width="14.16015625" style="0" customWidth="1"/>
    <col min="7" max="7" width="7.5" style="0" customWidth="1"/>
    <col min="8" max="8" width="15" style="0" customWidth="1"/>
    <col min="9" max="9" width="14" style="0" customWidth="1"/>
    <col min="10" max="12" width="18.33203125" style="0" customWidth="1"/>
    <col min="13" max="13" width="13.66015625" style="0" customWidth="1"/>
    <col min="14" max="24" width="14.16015625" style="0" customWidth="1"/>
    <col min="25" max="74" width="14.16015625" style="0" hidden="1" customWidth="1"/>
  </cols>
  <sheetData>
    <row r="1" spans="1:13" ht="54.75" customHeight="1">
      <c r="A1" s="74" t="s">
        <v>260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3" ht="15" customHeight="1">
      <c r="A2" s="75" t="s">
        <v>202</v>
      </c>
      <c r="B2" s="67"/>
      <c r="C2" s="114" t="s">
        <v>322</v>
      </c>
      <c r="D2" s="73"/>
      <c r="E2" s="67" t="s">
        <v>2</v>
      </c>
      <c r="F2" s="67"/>
      <c r="G2" s="67" t="s">
        <v>264</v>
      </c>
      <c r="H2" s="67"/>
      <c r="I2" s="78" t="s">
        <v>243</v>
      </c>
      <c r="J2" s="67" t="s">
        <v>135</v>
      </c>
      <c r="K2" s="67"/>
      <c r="L2" s="67"/>
      <c r="M2" s="68"/>
    </row>
    <row r="3" spans="1:13" ht="15" customHeight="1">
      <c r="A3" s="76"/>
      <c r="B3" s="57"/>
      <c r="C3" s="60"/>
      <c r="D3" s="60"/>
      <c r="E3" s="57"/>
      <c r="F3" s="57"/>
      <c r="G3" s="57"/>
      <c r="H3" s="57"/>
      <c r="I3" s="57"/>
      <c r="J3" s="57"/>
      <c r="K3" s="57"/>
      <c r="L3" s="57"/>
      <c r="M3" s="69"/>
    </row>
    <row r="4" spans="1:13" ht="15" customHeight="1">
      <c r="A4" s="77" t="s">
        <v>152</v>
      </c>
      <c r="B4" s="57"/>
      <c r="C4" s="61" t="s">
        <v>264</v>
      </c>
      <c r="D4" s="57"/>
      <c r="E4" s="57" t="s">
        <v>254</v>
      </c>
      <c r="F4" s="57"/>
      <c r="G4" s="57" t="s">
        <v>265</v>
      </c>
      <c r="H4" s="57"/>
      <c r="I4" s="61" t="s">
        <v>200</v>
      </c>
      <c r="J4" s="57" t="s">
        <v>135</v>
      </c>
      <c r="K4" s="57"/>
      <c r="L4" s="57"/>
      <c r="M4" s="69"/>
    </row>
    <row r="5" spans="1:13" ht="15" customHeight="1">
      <c r="A5" s="76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69"/>
    </row>
    <row r="6" spans="1:13" ht="15" customHeight="1">
      <c r="A6" s="77" t="s">
        <v>30</v>
      </c>
      <c r="B6" s="57"/>
      <c r="C6" s="61" t="s">
        <v>133</v>
      </c>
      <c r="D6" s="57"/>
      <c r="E6" s="57" t="s">
        <v>94</v>
      </c>
      <c r="F6" s="57"/>
      <c r="G6" s="57" t="s">
        <v>264</v>
      </c>
      <c r="H6" s="57"/>
      <c r="I6" s="61" t="s">
        <v>249</v>
      </c>
      <c r="J6" s="57" t="s">
        <v>135</v>
      </c>
      <c r="K6" s="57"/>
      <c r="L6" s="57"/>
      <c r="M6" s="69"/>
    </row>
    <row r="7" spans="1:13" ht="15" customHeight="1">
      <c r="A7" s="76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69"/>
    </row>
    <row r="8" spans="1:13" ht="15" customHeight="1">
      <c r="A8" s="77" t="s">
        <v>140</v>
      </c>
      <c r="B8" s="57"/>
      <c r="C8" s="61" t="s">
        <v>264</v>
      </c>
      <c r="D8" s="57"/>
      <c r="E8" s="57" t="s">
        <v>154</v>
      </c>
      <c r="F8" s="57"/>
      <c r="G8" s="57" t="s">
        <v>265</v>
      </c>
      <c r="H8" s="57"/>
      <c r="I8" s="61" t="s">
        <v>191</v>
      </c>
      <c r="J8" s="57" t="s">
        <v>135</v>
      </c>
      <c r="K8" s="57"/>
      <c r="L8" s="57"/>
      <c r="M8" s="69"/>
    </row>
    <row r="9" spans="1:13" ht="15" customHeight="1">
      <c r="A9" s="76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69"/>
    </row>
    <row r="10" spans="1:64" ht="15" customHeight="1">
      <c r="A10" s="30" t="s">
        <v>24</v>
      </c>
      <c r="B10" s="6" t="s">
        <v>97</v>
      </c>
      <c r="C10" s="70" t="s">
        <v>312</v>
      </c>
      <c r="D10" s="70"/>
      <c r="E10" s="70"/>
      <c r="F10" s="71"/>
      <c r="G10" s="6" t="s">
        <v>103</v>
      </c>
      <c r="H10" s="34" t="s">
        <v>166</v>
      </c>
      <c r="I10" s="49" t="s">
        <v>93</v>
      </c>
      <c r="J10" s="64" t="s">
        <v>181</v>
      </c>
      <c r="K10" s="65"/>
      <c r="L10" s="66"/>
      <c r="M10" s="22" t="s">
        <v>85</v>
      </c>
      <c r="BK10" s="12" t="s">
        <v>117</v>
      </c>
      <c r="BL10" s="45" t="s">
        <v>147</v>
      </c>
    </row>
    <row r="11" spans="1:62" ht="15" customHeight="1">
      <c r="A11" s="23" t="s">
        <v>264</v>
      </c>
      <c r="B11" s="5" t="s">
        <v>264</v>
      </c>
      <c r="C11" s="62" t="s">
        <v>297</v>
      </c>
      <c r="D11" s="62"/>
      <c r="E11" s="62"/>
      <c r="F11" s="63"/>
      <c r="G11" s="5" t="s">
        <v>264</v>
      </c>
      <c r="H11" s="5" t="s">
        <v>264</v>
      </c>
      <c r="I11" s="11" t="s">
        <v>273</v>
      </c>
      <c r="J11" s="50" t="s">
        <v>15</v>
      </c>
      <c r="K11" s="21" t="s">
        <v>62</v>
      </c>
      <c r="L11" s="9" t="s">
        <v>36</v>
      </c>
      <c r="M11" s="9" t="s">
        <v>81</v>
      </c>
      <c r="Z11" s="12" t="s">
        <v>224</v>
      </c>
      <c r="AA11" s="12" t="s">
        <v>171</v>
      </c>
      <c r="AB11" s="12" t="s">
        <v>303</v>
      </c>
      <c r="AC11" s="12" t="s">
        <v>86</v>
      </c>
      <c r="AD11" s="12" t="s">
        <v>244</v>
      </c>
      <c r="AE11" s="12" t="s">
        <v>110</v>
      </c>
      <c r="AF11" s="12" t="s">
        <v>257</v>
      </c>
      <c r="AG11" s="12" t="s">
        <v>126</v>
      </c>
      <c r="AH11" s="12" t="s">
        <v>84</v>
      </c>
      <c r="BH11" s="12" t="s">
        <v>225</v>
      </c>
      <c r="BI11" s="12" t="s">
        <v>300</v>
      </c>
      <c r="BJ11" s="12" t="s">
        <v>316</v>
      </c>
    </row>
    <row r="12" spans="1:47" ht="15" customHeight="1">
      <c r="A12" s="53" t="s">
        <v>202</v>
      </c>
      <c r="B12" s="43" t="s">
        <v>240</v>
      </c>
      <c r="C12" s="58" t="s">
        <v>153</v>
      </c>
      <c r="D12" s="58"/>
      <c r="E12" s="58"/>
      <c r="F12" s="58"/>
      <c r="G12" s="55" t="s">
        <v>264</v>
      </c>
      <c r="H12" s="55" t="s">
        <v>264</v>
      </c>
      <c r="I12" s="55" t="s">
        <v>264</v>
      </c>
      <c r="J12" s="18">
        <f>SUM(J13:J14)</f>
        <v>0</v>
      </c>
      <c r="K12" s="18">
        <f>SUM(K13:K14)</f>
        <v>0</v>
      </c>
      <c r="L12" s="18">
        <f>SUM(L13:L14)</f>
        <v>0</v>
      </c>
      <c r="M12" s="10" t="s">
        <v>202</v>
      </c>
      <c r="AI12" s="12" t="s">
        <v>202</v>
      </c>
      <c r="AS12" s="27">
        <f>SUM(AJ13:AJ14)</f>
        <v>0</v>
      </c>
      <c r="AT12" s="27">
        <f>SUM(AK13:AK14)</f>
        <v>0</v>
      </c>
      <c r="AU12" s="27">
        <f>SUM(AL13:AL14)</f>
        <v>0</v>
      </c>
    </row>
    <row r="13" spans="1:64" ht="15" customHeight="1">
      <c r="A13" s="38" t="s">
        <v>294</v>
      </c>
      <c r="B13" s="1" t="s">
        <v>141</v>
      </c>
      <c r="C13" s="57" t="s">
        <v>87</v>
      </c>
      <c r="D13" s="57"/>
      <c r="E13" s="57"/>
      <c r="F13" s="57"/>
      <c r="G13" s="1" t="s">
        <v>284</v>
      </c>
      <c r="H13" s="20">
        <v>7</v>
      </c>
      <c r="I13" s="20">
        <v>0</v>
      </c>
      <c r="J13" s="20">
        <f>H13*AO13</f>
        <v>0</v>
      </c>
      <c r="K13" s="20">
        <f>H13*AP13</f>
        <v>0</v>
      </c>
      <c r="L13" s="20">
        <f>H13*I13</f>
        <v>0</v>
      </c>
      <c r="M13" s="54" t="s">
        <v>241</v>
      </c>
      <c r="Z13" s="20">
        <f>IF(AQ13="5",BJ13,0)</f>
        <v>0</v>
      </c>
      <c r="AB13" s="20">
        <f>IF(AQ13="1",BH13,0)</f>
        <v>0</v>
      </c>
      <c r="AC13" s="20">
        <f>IF(AQ13="1",BI13,0)</f>
        <v>0</v>
      </c>
      <c r="AD13" s="20">
        <f>IF(AQ13="7",BH13,0)</f>
        <v>0</v>
      </c>
      <c r="AE13" s="20">
        <f>IF(AQ13="7",BI13,0)</f>
        <v>0</v>
      </c>
      <c r="AF13" s="20">
        <f>IF(AQ13="2",BH13,0)</f>
        <v>0</v>
      </c>
      <c r="AG13" s="20">
        <f>IF(AQ13="2",BI13,0)</f>
        <v>0</v>
      </c>
      <c r="AH13" s="20">
        <f>IF(AQ13="0",BJ13,0)</f>
        <v>0</v>
      </c>
      <c r="AI13" s="12" t="s">
        <v>202</v>
      </c>
      <c r="AJ13" s="20">
        <f>IF(AN13=0,L13,0)</f>
        <v>0</v>
      </c>
      <c r="AK13" s="20">
        <f>IF(AN13=15,L13,0)</f>
        <v>0</v>
      </c>
      <c r="AL13" s="20">
        <f>IF(AN13=21,L13,0)</f>
        <v>0</v>
      </c>
      <c r="AN13" s="20">
        <v>21</v>
      </c>
      <c r="AO13" s="20">
        <f>I13*0</f>
        <v>0</v>
      </c>
      <c r="AP13" s="20">
        <f>I13*(1-0)</f>
        <v>0</v>
      </c>
      <c r="AQ13" s="19" t="s">
        <v>294</v>
      </c>
      <c r="AV13" s="20">
        <f>AW13+AX13</f>
        <v>0</v>
      </c>
      <c r="AW13" s="20">
        <f>H13*AO13</f>
        <v>0</v>
      </c>
      <c r="AX13" s="20">
        <f>H13*AP13</f>
        <v>0</v>
      </c>
      <c r="AY13" s="19" t="s">
        <v>38</v>
      </c>
      <c r="AZ13" s="19" t="s">
        <v>39</v>
      </c>
      <c r="BA13" s="12" t="s">
        <v>220</v>
      </c>
      <c r="BC13" s="20">
        <f>AW13+AX13</f>
        <v>0</v>
      </c>
      <c r="BD13" s="20">
        <f>I13/(100-BE13)*100</f>
        <v>0</v>
      </c>
      <c r="BE13" s="20">
        <v>0</v>
      </c>
      <c r="BF13" s="20">
        <f>13</f>
        <v>13</v>
      </c>
      <c r="BH13" s="20">
        <f>H13*AO13</f>
        <v>0</v>
      </c>
      <c r="BI13" s="20">
        <f>H13*AP13</f>
        <v>0</v>
      </c>
      <c r="BJ13" s="20">
        <f>H13*I13</f>
        <v>0</v>
      </c>
      <c r="BK13" s="20"/>
      <c r="BL13" s="20">
        <v>11</v>
      </c>
    </row>
    <row r="14" spans="1:64" ht="15" customHeight="1">
      <c r="A14" s="38" t="s">
        <v>199</v>
      </c>
      <c r="B14" s="1" t="s">
        <v>252</v>
      </c>
      <c r="C14" s="57" t="s">
        <v>55</v>
      </c>
      <c r="D14" s="57"/>
      <c r="E14" s="57"/>
      <c r="F14" s="57"/>
      <c r="G14" s="1" t="s">
        <v>284</v>
      </c>
      <c r="H14" s="20">
        <v>36.4</v>
      </c>
      <c r="I14" s="20">
        <v>0</v>
      </c>
      <c r="J14" s="20">
        <f>H14*AO14</f>
        <v>0</v>
      </c>
      <c r="K14" s="20">
        <f>H14*AP14</f>
        <v>0</v>
      </c>
      <c r="L14" s="20">
        <f>H14*I14</f>
        <v>0</v>
      </c>
      <c r="M14" s="54" t="s">
        <v>241</v>
      </c>
      <c r="Z14" s="20">
        <f>IF(AQ14="5",BJ14,0)</f>
        <v>0</v>
      </c>
      <c r="AB14" s="20">
        <f>IF(AQ14="1",BH14,0)</f>
        <v>0</v>
      </c>
      <c r="AC14" s="20">
        <f>IF(AQ14="1",BI14,0)</f>
        <v>0</v>
      </c>
      <c r="AD14" s="20">
        <f>IF(AQ14="7",BH14,0)</f>
        <v>0</v>
      </c>
      <c r="AE14" s="20">
        <f>IF(AQ14="7",BI14,0)</f>
        <v>0</v>
      </c>
      <c r="AF14" s="20">
        <f>IF(AQ14="2",BH14,0)</f>
        <v>0</v>
      </c>
      <c r="AG14" s="20">
        <f>IF(AQ14="2",BI14,0)</f>
        <v>0</v>
      </c>
      <c r="AH14" s="20">
        <f>IF(AQ14="0",BJ14,0)</f>
        <v>0</v>
      </c>
      <c r="AI14" s="12" t="s">
        <v>202</v>
      </c>
      <c r="AJ14" s="20">
        <f>IF(AN14=0,L14,0)</f>
        <v>0</v>
      </c>
      <c r="AK14" s="20">
        <f>IF(AN14=15,L14,0)</f>
        <v>0</v>
      </c>
      <c r="AL14" s="20">
        <f>IF(AN14=21,L14,0)</f>
        <v>0</v>
      </c>
      <c r="AN14" s="20">
        <v>21</v>
      </c>
      <c r="AO14" s="20">
        <f>I14*0</f>
        <v>0</v>
      </c>
      <c r="AP14" s="20">
        <f>I14*(1-0)</f>
        <v>0</v>
      </c>
      <c r="AQ14" s="19" t="s">
        <v>294</v>
      </c>
      <c r="AV14" s="20">
        <f>AW14+AX14</f>
        <v>0</v>
      </c>
      <c r="AW14" s="20">
        <f>H14*AO14</f>
        <v>0</v>
      </c>
      <c r="AX14" s="20">
        <f>H14*AP14</f>
        <v>0</v>
      </c>
      <c r="AY14" s="19" t="s">
        <v>38</v>
      </c>
      <c r="AZ14" s="19" t="s">
        <v>39</v>
      </c>
      <c r="BA14" s="12" t="s">
        <v>220</v>
      </c>
      <c r="BC14" s="20">
        <f>AW14+AX14</f>
        <v>0</v>
      </c>
      <c r="BD14" s="20">
        <f>I14/(100-BE14)*100</f>
        <v>0</v>
      </c>
      <c r="BE14" s="20">
        <v>0</v>
      </c>
      <c r="BF14" s="20">
        <f>14</f>
        <v>14</v>
      </c>
      <c r="BH14" s="20">
        <f>H14*AO14</f>
        <v>0</v>
      </c>
      <c r="BI14" s="20">
        <f>H14*AP14</f>
        <v>0</v>
      </c>
      <c r="BJ14" s="20">
        <f>H14*I14</f>
        <v>0</v>
      </c>
      <c r="BK14" s="20"/>
      <c r="BL14" s="20">
        <v>11</v>
      </c>
    </row>
    <row r="15" spans="1:47" ht="15" customHeight="1">
      <c r="A15" s="46" t="s">
        <v>202</v>
      </c>
      <c r="B15" s="13" t="s">
        <v>161</v>
      </c>
      <c r="C15" s="58" t="s">
        <v>174</v>
      </c>
      <c r="D15" s="58"/>
      <c r="E15" s="58"/>
      <c r="F15" s="58"/>
      <c r="G15" s="44" t="s">
        <v>264</v>
      </c>
      <c r="H15" s="44" t="s">
        <v>264</v>
      </c>
      <c r="I15" s="44" t="s">
        <v>264</v>
      </c>
      <c r="J15" s="27">
        <f>SUM(J16:J21)</f>
        <v>0</v>
      </c>
      <c r="K15" s="27">
        <f>SUM(K16:K21)</f>
        <v>0</v>
      </c>
      <c r="L15" s="27">
        <f>SUM(L16:L21)</f>
        <v>0</v>
      </c>
      <c r="M15" s="16" t="s">
        <v>202</v>
      </c>
      <c r="AI15" s="12" t="s">
        <v>202</v>
      </c>
      <c r="AS15" s="27">
        <f>SUM(AJ16:AJ21)</f>
        <v>0</v>
      </c>
      <c r="AT15" s="27">
        <f>SUM(AK16:AK21)</f>
        <v>0</v>
      </c>
      <c r="AU15" s="27">
        <f>SUM(AL16:AL21)</f>
        <v>0</v>
      </c>
    </row>
    <row r="16" spans="1:64" ht="15" customHeight="1">
      <c r="A16" s="38" t="s">
        <v>246</v>
      </c>
      <c r="B16" s="1" t="s">
        <v>13</v>
      </c>
      <c r="C16" s="57" t="s">
        <v>47</v>
      </c>
      <c r="D16" s="57"/>
      <c r="E16" s="57"/>
      <c r="F16" s="57"/>
      <c r="G16" s="1" t="s">
        <v>78</v>
      </c>
      <c r="H16" s="20">
        <v>2</v>
      </c>
      <c r="I16" s="20">
        <v>0</v>
      </c>
      <c r="J16" s="20">
        <f aca="true" t="shared" si="0" ref="J16:J21">H16*AO16</f>
        <v>0</v>
      </c>
      <c r="K16" s="20">
        <f aca="true" t="shared" si="1" ref="K16:K21">H16*AP16</f>
        <v>0</v>
      </c>
      <c r="L16" s="20">
        <f aca="true" t="shared" si="2" ref="L16:L21">H16*I16</f>
        <v>0</v>
      </c>
      <c r="M16" s="54" t="s">
        <v>241</v>
      </c>
      <c r="Z16" s="20">
        <f aca="true" t="shared" si="3" ref="Z16:Z21">IF(AQ16="5",BJ16,0)</f>
        <v>0</v>
      </c>
      <c r="AB16" s="20">
        <f aca="true" t="shared" si="4" ref="AB16:AB21">IF(AQ16="1",BH16,0)</f>
        <v>0</v>
      </c>
      <c r="AC16" s="20">
        <f aca="true" t="shared" si="5" ref="AC16:AC21">IF(AQ16="1",BI16,0)</f>
        <v>0</v>
      </c>
      <c r="AD16" s="20">
        <f aca="true" t="shared" si="6" ref="AD16:AD21">IF(AQ16="7",BH16,0)</f>
        <v>0</v>
      </c>
      <c r="AE16" s="20">
        <f aca="true" t="shared" si="7" ref="AE16:AE21">IF(AQ16="7",BI16,0)</f>
        <v>0</v>
      </c>
      <c r="AF16" s="20">
        <f aca="true" t="shared" si="8" ref="AF16:AF21">IF(AQ16="2",BH16,0)</f>
        <v>0</v>
      </c>
      <c r="AG16" s="20">
        <f aca="true" t="shared" si="9" ref="AG16:AG21">IF(AQ16="2",BI16,0)</f>
        <v>0</v>
      </c>
      <c r="AH16" s="20">
        <f aca="true" t="shared" si="10" ref="AH16:AH21">IF(AQ16="0",BJ16,0)</f>
        <v>0</v>
      </c>
      <c r="AI16" s="12" t="s">
        <v>202</v>
      </c>
      <c r="AJ16" s="20">
        <f aca="true" t="shared" si="11" ref="AJ16:AJ21">IF(AN16=0,L16,0)</f>
        <v>0</v>
      </c>
      <c r="AK16" s="20">
        <f aca="true" t="shared" si="12" ref="AK16:AK21">IF(AN16=15,L16,0)</f>
        <v>0</v>
      </c>
      <c r="AL16" s="20">
        <f aca="true" t="shared" si="13" ref="AL16:AL21">IF(AN16=21,L16,0)</f>
        <v>0</v>
      </c>
      <c r="AN16" s="20">
        <v>21</v>
      </c>
      <c r="AO16" s="20">
        <f aca="true" t="shared" si="14" ref="AO16:AO21">I16*0</f>
        <v>0</v>
      </c>
      <c r="AP16" s="20">
        <f aca="true" t="shared" si="15" ref="AP16:AP21">I16*(1-0)</f>
        <v>0</v>
      </c>
      <c r="AQ16" s="19" t="s">
        <v>199</v>
      </c>
      <c r="AV16" s="20">
        <f aca="true" t="shared" si="16" ref="AV16:AV21">AW16+AX16</f>
        <v>0</v>
      </c>
      <c r="AW16" s="20">
        <f aca="true" t="shared" si="17" ref="AW16:AW21">H16*AO16</f>
        <v>0</v>
      </c>
      <c r="AX16" s="20">
        <f aca="true" t="shared" si="18" ref="AX16:AX21">H16*AP16</f>
        <v>0</v>
      </c>
      <c r="AY16" s="19" t="s">
        <v>250</v>
      </c>
      <c r="AZ16" s="19" t="s">
        <v>107</v>
      </c>
      <c r="BA16" s="12" t="s">
        <v>220</v>
      </c>
      <c r="BC16" s="20">
        <f aca="true" t="shared" si="19" ref="BC16:BC21">AW16+AX16</f>
        <v>0</v>
      </c>
      <c r="BD16" s="20">
        <f aca="true" t="shared" si="20" ref="BD16:BD21">I16/(100-BE16)*100</f>
        <v>0</v>
      </c>
      <c r="BE16" s="20">
        <v>0</v>
      </c>
      <c r="BF16" s="20">
        <f>16</f>
        <v>16</v>
      </c>
      <c r="BH16" s="20">
        <f aca="true" t="shared" si="21" ref="BH16:BH21">H16*AO16</f>
        <v>0</v>
      </c>
      <c r="BI16" s="20">
        <f aca="true" t="shared" si="22" ref="BI16:BI21">H16*AP16</f>
        <v>0</v>
      </c>
      <c r="BJ16" s="20">
        <f aca="true" t="shared" si="23" ref="BJ16:BJ21">H16*I16</f>
        <v>0</v>
      </c>
      <c r="BK16" s="20"/>
      <c r="BL16" s="20"/>
    </row>
    <row r="17" spans="1:64" ht="15" customHeight="1">
      <c r="A17" s="38" t="s">
        <v>41</v>
      </c>
      <c r="B17" s="1" t="s">
        <v>4</v>
      </c>
      <c r="C17" s="57" t="s">
        <v>9</v>
      </c>
      <c r="D17" s="57"/>
      <c r="E17" s="57"/>
      <c r="F17" s="57"/>
      <c r="G17" s="1" t="s">
        <v>78</v>
      </c>
      <c r="H17" s="20">
        <v>2</v>
      </c>
      <c r="I17" s="20">
        <v>0</v>
      </c>
      <c r="J17" s="20">
        <f t="shared" si="0"/>
        <v>0</v>
      </c>
      <c r="K17" s="20">
        <f t="shared" si="1"/>
        <v>0</v>
      </c>
      <c r="L17" s="20">
        <f t="shared" si="2"/>
        <v>0</v>
      </c>
      <c r="M17" s="54" t="s">
        <v>241</v>
      </c>
      <c r="Z17" s="20">
        <f t="shared" si="3"/>
        <v>0</v>
      </c>
      <c r="AB17" s="20">
        <f t="shared" si="4"/>
        <v>0</v>
      </c>
      <c r="AC17" s="20">
        <f t="shared" si="5"/>
        <v>0</v>
      </c>
      <c r="AD17" s="20">
        <f t="shared" si="6"/>
        <v>0</v>
      </c>
      <c r="AE17" s="20">
        <f t="shared" si="7"/>
        <v>0</v>
      </c>
      <c r="AF17" s="20">
        <f t="shared" si="8"/>
        <v>0</v>
      </c>
      <c r="AG17" s="20">
        <f t="shared" si="9"/>
        <v>0</v>
      </c>
      <c r="AH17" s="20">
        <f t="shared" si="10"/>
        <v>0</v>
      </c>
      <c r="AI17" s="12" t="s">
        <v>202</v>
      </c>
      <c r="AJ17" s="20">
        <f t="shared" si="11"/>
        <v>0</v>
      </c>
      <c r="AK17" s="20">
        <f t="shared" si="12"/>
        <v>0</v>
      </c>
      <c r="AL17" s="20">
        <f t="shared" si="13"/>
        <v>0</v>
      </c>
      <c r="AN17" s="20">
        <v>21</v>
      </c>
      <c r="AO17" s="20">
        <f t="shared" si="14"/>
        <v>0</v>
      </c>
      <c r="AP17" s="20">
        <f t="shared" si="15"/>
        <v>0</v>
      </c>
      <c r="AQ17" s="19" t="s">
        <v>294</v>
      </c>
      <c r="AV17" s="20">
        <f t="shared" si="16"/>
        <v>0</v>
      </c>
      <c r="AW17" s="20">
        <f t="shared" si="17"/>
        <v>0</v>
      </c>
      <c r="AX17" s="20">
        <f t="shared" si="18"/>
        <v>0</v>
      </c>
      <c r="AY17" s="19" t="s">
        <v>250</v>
      </c>
      <c r="AZ17" s="19" t="s">
        <v>107</v>
      </c>
      <c r="BA17" s="12" t="s">
        <v>220</v>
      </c>
      <c r="BC17" s="20">
        <f t="shared" si="19"/>
        <v>0</v>
      </c>
      <c r="BD17" s="20">
        <f t="shared" si="20"/>
        <v>0</v>
      </c>
      <c r="BE17" s="20">
        <v>0</v>
      </c>
      <c r="BF17" s="20">
        <f>17</f>
        <v>17</v>
      </c>
      <c r="BH17" s="20">
        <f t="shared" si="21"/>
        <v>0</v>
      </c>
      <c r="BI17" s="20">
        <f t="shared" si="22"/>
        <v>0</v>
      </c>
      <c r="BJ17" s="20">
        <f t="shared" si="23"/>
        <v>0</v>
      </c>
      <c r="BK17" s="20"/>
      <c r="BL17" s="20"/>
    </row>
    <row r="18" spans="1:64" ht="15" customHeight="1">
      <c r="A18" s="38" t="s">
        <v>151</v>
      </c>
      <c r="B18" s="1" t="s">
        <v>90</v>
      </c>
      <c r="C18" s="57" t="s">
        <v>57</v>
      </c>
      <c r="D18" s="57"/>
      <c r="E18" s="57"/>
      <c r="F18" s="57"/>
      <c r="G18" s="1" t="s">
        <v>78</v>
      </c>
      <c r="H18" s="20">
        <v>2</v>
      </c>
      <c r="I18" s="20">
        <v>0</v>
      </c>
      <c r="J18" s="20">
        <f t="shared" si="0"/>
        <v>0</v>
      </c>
      <c r="K18" s="20">
        <f t="shared" si="1"/>
        <v>0</v>
      </c>
      <c r="L18" s="20">
        <f t="shared" si="2"/>
        <v>0</v>
      </c>
      <c r="M18" s="54" t="s">
        <v>241</v>
      </c>
      <c r="Z18" s="20">
        <f t="shared" si="3"/>
        <v>0</v>
      </c>
      <c r="AB18" s="20">
        <f t="shared" si="4"/>
        <v>0</v>
      </c>
      <c r="AC18" s="20">
        <f t="shared" si="5"/>
        <v>0</v>
      </c>
      <c r="AD18" s="20">
        <f t="shared" si="6"/>
        <v>0</v>
      </c>
      <c r="AE18" s="20">
        <f t="shared" si="7"/>
        <v>0</v>
      </c>
      <c r="AF18" s="20">
        <f t="shared" si="8"/>
        <v>0</v>
      </c>
      <c r="AG18" s="20">
        <f t="shared" si="9"/>
        <v>0</v>
      </c>
      <c r="AH18" s="20">
        <f t="shared" si="10"/>
        <v>0</v>
      </c>
      <c r="AI18" s="12" t="s">
        <v>202</v>
      </c>
      <c r="AJ18" s="20">
        <f t="shared" si="11"/>
        <v>0</v>
      </c>
      <c r="AK18" s="20">
        <f t="shared" si="12"/>
        <v>0</v>
      </c>
      <c r="AL18" s="20">
        <f t="shared" si="13"/>
        <v>0</v>
      </c>
      <c r="AN18" s="20">
        <v>21</v>
      </c>
      <c r="AO18" s="20">
        <f t="shared" si="14"/>
        <v>0</v>
      </c>
      <c r="AP18" s="20">
        <f t="shared" si="15"/>
        <v>0</v>
      </c>
      <c r="AQ18" s="19" t="s">
        <v>294</v>
      </c>
      <c r="AV18" s="20">
        <f t="shared" si="16"/>
        <v>0</v>
      </c>
      <c r="AW18" s="20">
        <f t="shared" si="17"/>
        <v>0</v>
      </c>
      <c r="AX18" s="20">
        <f t="shared" si="18"/>
        <v>0</v>
      </c>
      <c r="AY18" s="19" t="s">
        <v>250</v>
      </c>
      <c r="AZ18" s="19" t="s">
        <v>107</v>
      </c>
      <c r="BA18" s="12" t="s">
        <v>220</v>
      </c>
      <c r="BC18" s="20">
        <f t="shared" si="19"/>
        <v>0</v>
      </c>
      <c r="BD18" s="20">
        <f t="shared" si="20"/>
        <v>0</v>
      </c>
      <c r="BE18" s="20">
        <v>0</v>
      </c>
      <c r="BF18" s="20">
        <f>18</f>
        <v>18</v>
      </c>
      <c r="BH18" s="20">
        <f t="shared" si="21"/>
        <v>0</v>
      </c>
      <c r="BI18" s="20">
        <f t="shared" si="22"/>
        <v>0</v>
      </c>
      <c r="BJ18" s="20">
        <f t="shared" si="23"/>
        <v>0</v>
      </c>
      <c r="BK18" s="20"/>
      <c r="BL18" s="20"/>
    </row>
    <row r="19" spans="1:64" ht="15" customHeight="1">
      <c r="A19" s="38" t="s">
        <v>53</v>
      </c>
      <c r="B19" s="1" t="s">
        <v>75</v>
      </c>
      <c r="C19" s="57" t="s">
        <v>261</v>
      </c>
      <c r="D19" s="57"/>
      <c r="E19" s="57"/>
      <c r="F19" s="57"/>
      <c r="G19" s="1" t="s">
        <v>78</v>
      </c>
      <c r="H19" s="20">
        <v>2</v>
      </c>
      <c r="I19" s="20">
        <v>0</v>
      </c>
      <c r="J19" s="20">
        <f t="shared" si="0"/>
        <v>0</v>
      </c>
      <c r="K19" s="20">
        <f t="shared" si="1"/>
        <v>0</v>
      </c>
      <c r="L19" s="20">
        <f t="shared" si="2"/>
        <v>0</v>
      </c>
      <c r="M19" s="54" t="s">
        <v>241</v>
      </c>
      <c r="Z19" s="20">
        <f t="shared" si="3"/>
        <v>0</v>
      </c>
      <c r="AB19" s="20">
        <f t="shared" si="4"/>
        <v>0</v>
      </c>
      <c r="AC19" s="20">
        <f t="shared" si="5"/>
        <v>0</v>
      </c>
      <c r="AD19" s="20">
        <f t="shared" si="6"/>
        <v>0</v>
      </c>
      <c r="AE19" s="20">
        <f t="shared" si="7"/>
        <v>0</v>
      </c>
      <c r="AF19" s="20">
        <f t="shared" si="8"/>
        <v>0</v>
      </c>
      <c r="AG19" s="20">
        <f t="shared" si="9"/>
        <v>0</v>
      </c>
      <c r="AH19" s="20">
        <f t="shared" si="10"/>
        <v>0</v>
      </c>
      <c r="AI19" s="12" t="s">
        <v>202</v>
      </c>
      <c r="AJ19" s="20">
        <f t="shared" si="11"/>
        <v>0</v>
      </c>
      <c r="AK19" s="20">
        <f t="shared" si="12"/>
        <v>0</v>
      </c>
      <c r="AL19" s="20">
        <f t="shared" si="13"/>
        <v>0</v>
      </c>
      <c r="AN19" s="20">
        <v>21</v>
      </c>
      <c r="AO19" s="20">
        <f t="shared" si="14"/>
        <v>0</v>
      </c>
      <c r="AP19" s="20">
        <f t="shared" si="15"/>
        <v>0</v>
      </c>
      <c r="AQ19" s="19" t="s">
        <v>294</v>
      </c>
      <c r="AV19" s="20">
        <f t="shared" si="16"/>
        <v>0</v>
      </c>
      <c r="AW19" s="20">
        <f t="shared" si="17"/>
        <v>0</v>
      </c>
      <c r="AX19" s="20">
        <f t="shared" si="18"/>
        <v>0</v>
      </c>
      <c r="AY19" s="19" t="s">
        <v>250</v>
      </c>
      <c r="AZ19" s="19" t="s">
        <v>107</v>
      </c>
      <c r="BA19" s="12" t="s">
        <v>220</v>
      </c>
      <c r="BC19" s="20">
        <f t="shared" si="19"/>
        <v>0</v>
      </c>
      <c r="BD19" s="20">
        <f t="shared" si="20"/>
        <v>0</v>
      </c>
      <c r="BE19" s="20">
        <v>0</v>
      </c>
      <c r="BF19" s="20">
        <f>19</f>
        <v>19</v>
      </c>
      <c r="BH19" s="20">
        <f t="shared" si="21"/>
        <v>0</v>
      </c>
      <c r="BI19" s="20">
        <f t="shared" si="22"/>
        <v>0</v>
      </c>
      <c r="BJ19" s="20">
        <f t="shared" si="23"/>
        <v>0</v>
      </c>
      <c r="BK19" s="20"/>
      <c r="BL19" s="20"/>
    </row>
    <row r="20" spans="1:64" ht="15" customHeight="1">
      <c r="A20" s="38" t="s">
        <v>295</v>
      </c>
      <c r="B20" s="1" t="s">
        <v>311</v>
      </c>
      <c r="C20" s="57" t="s">
        <v>52</v>
      </c>
      <c r="D20" s="57"/>
      <c r="E20" s="57"/>
      <c r="F20" s="57"/>
      <c r="G20" s="1" t="s">
        <v>78</v>
      </c>
      <c r="H20" s="20">
        <v>2</v>
      </c>
      <c r="I20" s="20">
        <v>0</v>
      </c>
      <c r="J20" s="20">
        <f t="shared" si="0"/>
        <v>0</v>
      </c>
      <c r="K20" s="20">
        <f t="shared" si="1"/>
        <v>0</v>
      </c>
      <c r="L20" s="20">
        <f t="shared" si="2"/>
        <v>0</v>
      </c>
      <c r="M20" s="54" t="s">
        <v>241</v>
      </c>
      <c r="Z20" s="20">
        <f t="shared" si="3"/>
        <v>0</v>
      </c>
      <c r="AB20" s="20">
        <f t="shared" si="4"/>
        <v>0</v>
      </c>
      <c r="AC20" s="20">
        <f t="shared" si="5"/>
        <v>0</v>
      </c>
      <c r="AD20" s="20">
        <f t="shared" si="6"/>
        <v>0</v>
      </c>
      <c r="AE20" s="20">
        <f t="shared" si="7"/>
        <v>0</v>
      </c>
      <c r="AF20" s="20">
        <f t="shared" si="8"/>
        <v>0</v>
      </c>
      <c r="AG20" s="20">
        <f t="shared" si="9"/>
        <v>0</v>
      </c>
      <c r="AH20" s="20">
        <f t="shared" si="10"/>
        <v>0</v>
      </c>
      <c r="AI20" s="12" t="s">
        <v>202</v>
      </c>
      <c r="AJ20" s="20">
        <f t="shared" si="11"/>
        <v>0</v>
      </c>
      <c r="AK20" s="20">
        <f t="shared" si="12"/>
        <v>0</v>
      </c>
      <c r="AL20" s="20">
        <f t="shared" si="13"/>
        <v>0</v>
      </c>
      <c r="AN20" s="20">
        <v>21</v>
      </c>
      <c r="AO20" s="20">
        <f t="shared" si="14"/>
        <v>0</v>
      </c>
      <c r="AP20" s="20">
        <f t="shared" si="15"/>
        <v>0</v>
      </c>
      <c r="AQ20" s="19" t="s">
        <v>294</v>
      </c>
      <c r="AV20" s="20">
        <f t="shared" si="16"/>
        <v>0</v>
      </c>
      <c r="AW20" s="20">
        <f t="shared" si="17"/>
        <v>0</v>
      </c>
      <c r="AX20" s="20">
        <f t="shared" si="18"/>
        <v>0</v>
      </c>
      <c r="AY20" s="19" t="s">
        <v>250</v>
      </c>
      <c r="AZ20" s="19" t="s">
        <v>107</v>
      </c>
      <c r="BA20" s="12" t="s">
        <v>220</v>
      </c>
      <c r="BC20" s="20">
        <f t="shared" si="19"/>
        <v>0</v>
      </c>
      <c r="BD20" s="20">
        <f t="shared" si="20"/>
        <v>0</v>
      </c>
      <c r="BE20" s="20">
        <v>0</v>
      </c>
      <c r="BF20" s="20">
        <f>20</f>
        <v>20</v>
      </c>
      <c r="BH20" s="20">
        <f t="shared" si="21"/>
        <v>0</v>
      </c>
      <c r="BI20" s="20">
        <f t="shared" si="22"/>
        <v>0</v>
      </c>
      <c r="BJ20" s="20">
        <f t="shared" si="23"/>
        <v>0</v>
      </c>
      <c r="BK20" s="20"/>
      <c r="BL20" s="20"/>
    </row>
    <row r="21" spans="1:64" ht="15" customHeight="1">
      <c r="A21" s="38" t="s">
        <v>227</v>
      </c>
      <c r="B21" s="1" t="s">
        <v>197</v>
      </c>
      <c r="C21" s="57" t="s">
        <v>215</v>
      </c>
      <c r="D21" s="57"/>
      <c r="E21" s="57"/>
      <c r="F21" s="57"/>
      <c r="G21" s="1" t="s">
        <v>134</v>
      </c>
      <c r="H21" s="20">
        <v>0.15</v>
      </c>
      <c r="I21" s="20">
        <v>0</v>
      </c>
      <c r="J21" s="20">
        <f t="shared" si="0"/>
        <v>0</v>
      </c>
      <c r="K21" s="20">
        <f t="shared" si="1"/>
        <v>0</v>
      </c>
      <c r="L21" s="20">
        <f t="shared" si="2"/>
        <v>0</v>
      </c>
      <c r="M21" s="54" t="s">
        <v>241</v>
      </c>
      <c r="Z21" s="20">
        <f t="shared" si="3"/>
        <v>0</v>
      </c>
      <c r="AB21" s="20">
        <f t="shared" si="4"/>
        <v>0</v>
      </c>
      <c r="AC21" s="20">
        <f t="shared" si="5"/>
        <v>0</v>
      </c>
      <c r="AD21" s="20">
        <f t="shared" si="6"/>
        <v>0</v>
      </c>
      <c r="AE21" s="20">
        <f t="shared" si="7"/>
        <v>0</v>
      </c>
      <c r="AF21" s="20">
        <f t="shared" si="8"/>
        <v>0</v>
      </c>
      <c r="AG21" s="20">
        <f t="shared" si="9"/>
        <v>0</v>
      </c>
      <c r="AH21" s="20">
        <f t="shared" si="10"/>
        <v>0</v>
      </c>
      <c r="AI21" s="12" t="s">
        <v>202</v>
      </c>
      <c r="AJ21" s="20">
        <f t="shared" si="11"/>
        <v>0</v>
      </c>
      <c r="AK21" s="20">
        <f t="shared" si="12"/>
        <v>0</v>
      </c>
      <c r="AL21" s="20">
        <f t="shared" si="13"/>
        <v>0</v>
      </c>
      <c r="AN21" s="20">
        <v>21</v>
      </c>
      <c r="AO21" s="20">
        <f t="shared" si="14"/>
        <v>0</v>
      </c>
      <c r="AP21" s="20">
        <f t="shared" si="15"/>
        <v>0</v>
      </c>
      <c r="AQ21" s="19" t="s">
        <v>294</v>
      </c>
      <c r="AV21" s="20">
        <f t="shared" si="16"/>
        <v>0</v>
      </c>
      <c r="AW21" s="20">
        <f t="shared" si="17"/>
        <v>0</v>
      </c>
      <c r="AX21" s="20">
        <f t="shared" si="18"/>
        <v>0</v>
      </c>
      <c r="AY21" s="19" t="s">
        <v>250</v>
      </c>
      <c r="AZ21" s="19" t="s">
        <v>107</v>
      </c>
      <c r="BA21" s="12" t="s">
        <v>220</v>
      </c>
      <c r="BC21" s="20">
        <f t="shared" si="19"/>
        <v>0</v>
      </c>
      <c r="BD21" s="20">
        <f t="shared" si="20"/>
        <v>0</v>
      </c>
      <c r="BE21" s="20">
        <v>0</v>
      </c>
      <c r="BF21" s="20">
        <f>21</f>
        <v>21</v>
      </c>
      <c r="BH21" s="20">
        <f t="shared" si="21"/>
        <v>0</v>
      </c>
      <c r="BI21" s="20">
        <f t="shared" si="22"/>
        <v>0</v>
      </c>
      <c r="BJ21" s="20">
        <f t="shared" si="23"/>
        <v>0</v>
      </c>
      <c r="BK21" s="20"/>
      <c r="BL21" s="20"/>
    </row>
    <row r="22" spans="1:47" ht="15" customHeight="1">
      <c r="A22" s="46" t="s">
        <v>202</v>
      </c>
      <c r="B22" s="13" t="s">
        <v>89</v>
      </c>
      <c r="C22" s="58" t="s">
        <v>3</v>
      </c>
      <c r="D22" s="58"/>
      <c r="E22" s="58"/>
      <c r="F22" s="58"/>
      <c r="G22" s="44" t="s">
        <v>264</v>
      </c>
      <c r="H22" s="44" t="s">
        <v>264</v>
      </c>
      <c r="I22" s="44" t="s">
        <v>264</v>
      </c>
      <c r="J22" s="27">
        <f>SUM(J23:J24)</f>
        <v>0</v>
      </c>
      <c r="K22" s="27">
        <f>SUM(K23:K24)</f>
        <v>0</v>
      </c>
      <c r="L22" s="27">
        <f>SUM(L23:L24)</f>
        <v>0</v>
      </c>
      <c r="M22" s="16" t="s">
        <v>202</v>
      </c>
      <c r="AI22" s="12" t="s">
        <v>202</v>
      </c>
      <c r="AS22" s="27">
        <f>SUM(AJ23:AJ24)</f>
        <v>0</v>
      </c>
      <c r="AT22" s="27">
        <f>SUM(AK23:AK24)</f>
        <v>0</v>
      </c>
      <c r="AU22" s="27">
        <f>SUM(AL23:AL24)</f>
        <v>0</v>
      </c>
    </row>
    <row r="23" spans="1:64" ht="15" customHeight="1">
      <c r="A23" s="38" t="s">
        <v>113</v>
      </c>
      <c r="B23" s="1" t="s">
        <v>50</v>
      </c>
      <c r="C23" s="57" t="s">
        <v>72</v>
      </c>
      <c r="D23" s="57"/>
      <c r="E23" s="57"/>
      <c r="F23" s="57"/>
      <c r="G23" s="1" t="s">
        <v>278</v>
      </c>
      <c r="H23" s="20">
        <v>19.158</v>
      </c>
      <c r="I23" s="20">
        <v>0</v>
      </c>
      <c r="J23" s="20">
        <f>H23*AO23</f>
        <v>0</v>
      </c>
      <c r="K23" s="20">
        <f>H23*AP23</f>
        <v>0</v>
      </c>
      <c r="L23" s="20">
        <f>H23*I23</f>
        <v>0</v>
      </c>
      <c r="M23" s="54" t="s">
        <v>241</v>
      </c>
      <c r="Z23" s="20">
        <f>IF(AQ23="5",BJ23,0)</f>
        <v>0</v>
      </c>
      <c r="AB23" s="20">
        <f>IF(AQ23="1",BH23,0)</f>
        <v>0</v>
      </c>
      <c r="AC23" s="20">
        <f>IF(AQ23="1",BI23,0)</f>
        <v>0</v>
      </c>
      <c r="AD23" s="20">
        <f>IF(AQ23="7",BH23,0)</f>
        <v>0</v>
      </c>
      <c r="AE23" s="20">
        <f>IF(AQ23="7",BI23,0)</f>
        <v>0</v>
      </c>
      <c r="AF23" s="20">
        <f>IF(AQ23="2",BH23,0)</f>
        <v>0</v>
      </c>
      <c r="AG23" s="20">
        <f>IF(AQ23="2",BI23,0)</f>
        <v>0</v>
      </c>
      <c r="AH23" s="20">
        <f>IF(AQ23="0",BJ23,0)</f>
        <v>0</v>
      </c>
      <c r="AI23" s="12" t="s">
        <v>202</v>
      </c>
      <c r="AJ23" s="20">
        <f>IF(AN23=0,L23,0)</f>
        <v>0</v>
      </c>
      <c r="AK23" s="20">
        <f>IF(AN23=15,L23,0)</f>
        <v>0</v>
      </c>
      <c r="AL23" s="20">
        <f>IF(AN23=21,L23,0)</f>
        <v>0</v>
      </c>
      <c r="AN23" s="20">
        <v>21</v>
      </c>
      <c r="AO23" s="20">
        <f>I23*0</f>
        <v>0</v>
      </c>
      <c r="AP23" s="20">
        <f>I23*(1-0)</f>
        <v>0</v>
      </c>
      <c r="AQ23" s="19" t="s">
        <v>294</v>
      </c>
      <c r="AV23" s="20">
        <f>AW23+AX23</f>
        <v>0</v>
      </c>
      <c r="AW23" s="20">
        <f>H23*AO23</f>
        <v>0</v>
      </c>
      <c r="AX23" s="20">
        <f>H23*AP23</f>
        <v>0</v>
      </c>
      <c r="AY23" s="19" t="s">
        <v>258</v>
      </c>
      <c r="AZ23" s="19" t="s">
        <v>39</v>
      </c>
      <c r="BA23" s="12" t="s">
        <v>220</v>
      </c>
      <c r="BC23" s="20">
        <f>AW23+AX23</f>
        <v>0</v>
      </c>
      <c r="BD23" s="20">
        <f>I23/(100-BE23)*100</f>
        <v>0</v>
      </c>
      <c r="BE23" s="20">
        <v>0</v>
      </c>
      <c r="BF23" s="20">
        <f>23</f>
        <v>23</v>
      </c>
      <c r="BH23" s="20">
        <f>H23*AO23</f>
        <v>0</v>
      </c>
      <c r="BI23" s="20">
        <f>H23*AP23</f>
        <v>0</v>
      </c>
      <c r="BJ23" s="20">
        <f>H23*I23</f>
        <v>0</v>
      </c>
      <c r="BK23" s="20"/>
      <c r="BL23" s="20">
        <v>13</v>
      </c>
    </row>
    <row r="24" spans="1:64" ht="15" customHeight="1">
      <c r="A24" s="38" t="s">
        <v>158</v>
      </c>
      <c r="B24" s="1" t="s">
        <v>44</v>
      </c>
      <c r="C24" s="57" t="s">
        <v>49</v>
      </c>
      <c r="D24" s="57"/>
      <c r="E24" s="57"/>
      <c r="F24" s="57"/>
      <c r="G24" s="1" t="s">
        <v>278</v>
      </c>
      <c r="H24" s="20">
        <v>11.319</v>
      </c>
      <c r="I24" s="20">
        <v>0</v>
      </c>
      <c r="J24" s="20">
        <f>H24*AO24</f>
        <v>0</v>
      </c>
      <c r="K24" s="20">
        <f>H24*AP24</f>
        <v>0</v>
      </c>
      <c r="L24" s="20">
        <f>H24*I24</f>
        <v>0</v>
      </c>
      <c r="M24" s="54" t="s">
        <v>241</v>
      </c>
      <c r="Z24" s="20">
        <f>IF(AQ24="5",BJ24,0)</f>
        <v>0</v>
      </c>
      <c r="AB24" s="20">
        <f>IF(AQ24="1",BH24,0)</f>
        <v>0</v>
      </c>
      <c r="AC24" s="20">
        <f>IF(AQ24="1",BI24,0)</f>
        <v>0</v>
      </c>
      <c r="AD24" s="20">
        <f>IF(AQ24="7",BH24,0)</f>
        <v>0</v>
      </c>
      <c r="AE24" s="20">
        <f>IF(AQ24="7",BI24,0)</f>
        <v>0</v>
      </c>
      <c r="AF24" s="20">
        <f>IF(AQ24="2",BH24,0)</f>
        <v>0</v>
      </c>
      <c r="AG24" s="20">
        <f>IF(AQ24="2",BI24,0)</f>
        <v>0</v>
      </c>
      <c r="AH24" s="20">
        <f>IF(AQ24="0",BJ24,0)</f>
        <v>0</v>
      </c>
      <c r="AI24" s="12" t="s">
        <v>202</v>
      </c>
      <c r="AJ24" s="20">
        <f>IF(AN24=0,L24,0)</f>
        <v>0</v>
      </c>
      <c r="AK24" s="20">
        <f>IF(AN24=15,L24,0)</f>
        <v>0</v>
      </c>
      <c r="AL24" s="20">
        <f>IF(AN24=21,L24,0)</f>
        <v>0</v>
      </c>
      <c r="AN24" s="20">
        <v>21</v>
      </c>
      <c r="AO24" s="20">
        <f>I24*0</f>
        <v>0</v>
      </c>
      <c r="AP24" s="20">
        <f>I24*(1-0)</f>
        <v>0</v>
      </c>
      <c r="AQ24" s="19" t="s">
        <v>294</v>
      </c>
      <c r="AV24" s="20">
        <f>AW24+AX24</f>
        <v>0</v>
      </c>
      <c r="AW24" s="20">
        <f>H24*AO24</f>
        <v>0</v>
      </c>
      <c r="AX24" s="20">
        <f>H24*AP24</f>
        <v>0</v>
      </c>
      <c r="AY24" s="19" t="s">
        <v>258</v>
      </c>
      <c r="AZ24" s="19" t="s">
        <v>39</v>
      </c>
      <c r="BA24" s="12" t="s">
        <v>220</v>
      </c>
      <c r="BC24" s="20">
        <f>AW24+AX24</f>
        <v>0</v>
      </c>
      <c r="BD24" s="20">
        <f>I24/(100-BE24)*100</f>
        <v>0</v>
      </c>
      <c r="BE24" s="20">
        <v>0</v>
      </c>
      <c r="BF24" s="20">
        <f>24</f>
        <v>24</v>
      </c>
      <c r="BH24" s="20">
        <f>H24*AO24</f>
        <v>0</v>
      </c>
      <c r="BI24" s="20">
        <f>H24*AP24</f>
        <v>0</v>
      </c>
      <c r="BJ24" s="20">
        <f>H24*I24</f>
        <v>0</v>
      </c>
      <c r="BK24" s="20"/>
      <c r="BL24" s="20">
        <v>13</v>
      </c>
    </row>
    <row r="25" spans="1:47" ht="15" customHeight="1">
      <c r="A25" s="46" t="s">
        <v>202</v>
      </c>
      <c r="B25" s="13" t="s">
        <v>230</v>
      </c>
      <c r="C25" s="58" t="s">
        <v>301</v>
      </c>
      <c r="D25" s="58"/>
      <c r="E25" s="58"/>
      <c r="F25" s="58"/>
      <c r="G25" s="44" t="s">
        <v>264</v>
      </c>
      <c r="H25" s="44" t="s">
        <v>264</v>
      </c>
      <c r="I25" s="44" t="s">
        <v>264</v>
      </c>
      <c r="J25" s="27">
        <f>SUM(J26:J55)</f>
        <v>0</v>
      </c>
      <c r="K25" s="27">
        <f>SUM(K26:K55)</f>
        <v>0</v>
      </c>
      <c r="L25" s="27">
        <f>SUM(L26:L55)</f>
        <v>0</v>
      </c>
      <c r="M25" s="16" t="s">
        <v>202</v>
      </c>
      <c r="AI25" s="12" t="s">
        <v>202</v>
      </c>
      <c r="AS25" s="27">
        <f>SUM(AJ26:AJ55)</f>
        <v>0</v>
      </c>
      <c r="AT25" s="27">
        <f>SUM(AK26:AK55)</f>
        <v>0</v>
      </c>
      <c r="AU25" s="27">
        <f>SUM(AL26:AL55)</f>
        <v>0</v>
      </c>
    </row>
    <row r="26" spans="1:64" ht="15" customHeight="1">
      <c r="A26" s="38" t="s">
        <v>240</v>
      </c>
      <c r="B26" s="1" t="s">
        <v>40</v>
      </c>
      <c r="C26" s="57" t="s">
        <v>216</v>
      </c>
      <c r="D26" s="57"/>
      <c r="E26" s="57"/>
      <c r="F26" s="57"/>
      <c r="G26" s="1" t="s">
        <v>78</v>
      </c>
      <c r="H26" s="20">
        <v>166</v>
      </c>
      <c r="I26" s="20">
        <v>0</v>
      </c>
      <c r="J26" s="20">
        <f aca="true" t="shared" si="24" ref="J26:J55">H26*AO26</f>
        <v>0</v>
      </c>
      <c r="K26" s="20">
        <f aca="true" t="shared" si="25" ref="K26:K55">H26*AP26</f>
        <v>0</v>
      </c>
      <c r="L26" s="20">
        <f aca="true" t="shared" si="26" ref="L26:L55">H26*I26</f>
        <v>0</v>
      </c>
      <c r="M26" s="54" t="s">
        <v>241</v>
      </c>
      <c r="Z26" s="20">
        <f aca="true" t="shared" si="27" ref="Z26:Z55">IF(AQ26="5",BJ26,0)</f>
        <v>0</v>
      </c>
      <c r="AB26" s="20">
        <f aca="true" t="shared" si="28" ref="AB26:AB55">IF(AQ26="1",BH26,0)</f>
        <v>0</v>
      </c>
      <c r="AC26" s="20">
        <f aca="true" t="shared" si="29" ref="AC26:AC55">IF(AQ26="1",BI26,0)</f>
        <v>0</v>
      </c>
      <c r="AD26" s="20">
        <f aca="true" t="shared" si="30" ref="AD26:AD55">IF(AQ26="7",BH26,0)</f>
        <v>0</v>
      </c>
      <c r="AE26" s="20">
        <f aca="true" t="shared" si="31" ref="AE26:AE55">IF(AQ26="7",BI26,0)</f>
        <v>0</v>
      </c>
      <c r="AF26" s="20">
        <f aca="true" t="shared" si="32" ref="AF26:AF55">IF(AQ26="2",BH26,0)</f>
        <v>0</v>
      </c>
      <c r="AG26" s="20">
        <f aca="true" t="shared" si="33" ref="AG26:AG55">IF(AQ26="2",BI26,0)</f>
        <v>0</v>
      </c>
      <c r="AH26" s="20">
        <f aca="true" t="shared" si="34" ref="AH26:AH55">IF(AQ26="0",BJ26,0)</f>
        <v>0</v>
      </c>
      <c r="AI26" s="12" t="s">
        <v>202</v>
      </c>
      <c r="AJ26" s="20">
        <f aca="true" t="shared" si="35" ref="AJ26:AJ55">IF(AN26=0,L26,0)</f>
        <v>0</v>
      </c>
      <c r="AK26" s="20">
        <f aca="true" t="shared" si="36" ref="AK26:AK55">IF(AN26=15,L26,0)</f>
        <v>0</v>
      </c>
      <c r="AL26" s="20">
        <f aca="true" t="shared" si="37" ref="AL26:AL55">IF(AN26=21,L26,0)</f>
        <v>0</v>
      </c>
      <c r="AN26" s="20">
        <v>21</v>
      </c>
      <c r="AO26" s="20">
        <f>I26*0</f>
        <v>0</v>
      </c>
      <c r="AP26" s="20">
        <f>I26*(1-0)</f>
        <v>0</v>
      </c>
      <c r="AQ26" s="19" t="s">
        <v>294</v>
      </c>
      <c r="AV26" s="20">
        <f aca="true" t="shared" si="38" ref="AV26:AV55">AW26+AX26</f>
        <v>0</v>
      </c>
      <c r="AW26" s="20">
        <f aca="true" t="shared" si="39" ref="AW26:AW55">H26*AO26</f>
        <v>0</v>
      </c>
      <c r="AX26" s="20">
        <f aca="true" t="shared" si="40" ref="AX26:AX55">H26*AP26</f>
        <v>0</v>
      </c>
      <c r="AY26" s="19" t="s">
        <v>142</v>
      </c>
      <c r="AZ26" s="19" t="s">
        <v>39</v>
      </c>
      <c r="BA26" s="12" t="s">
        <v>220</v>
      </c>
      <c r="BC26" s="20">
        <f aca="true" t="shared" si="41" ref="BC26:BC55">AW26+AX26</f>
        <v>0</v>
      </c>
      <c r="BD26" s="20">
        <f aca="true" t="shared" si="42" ref="BD26:BD55">I26/(100-BE26)*100</f>
        <v>0</v>
      </c>
      <c r="BE26" s="20">
        <v>0</v>
      </c>
      <c r="BF26" s="20">
        <f>26</f>
        <v>26</v>
      </c>
      <c r="BH26" s="20">
        <f aca="true" t="shared" si="43" ref="BH26:BH55">H26*AO26</f>
        <v>0</v>
      </c>
      <c r="BI26" s="20">
        <f aca="true" t="shared" si="44" ref="BI26:BI55">H26*AP26</f>
        <v>0</v>
      </c>
      <c r="BJ26" s="20">
        <f aca="true" t="shared" si="45" ref="BJ26:BJ55">H26*I26</f>
        <v>0</v>
      </c>
      <c r="BK26" s="20"/>
      <c r="BL26" s="20">
        <v>18</v>
      </c>
    </row>
    <row r="27" spans="1:64" ht="15" customHeight="1">
      <c r="A27" s="38" t="s">
        <v>210</v>
      </c>
      <c r="B27" s="1" t="s">
        <v>96</v>
      </c>
      <c r="C27" s="57" t="s">
        <v>14</v>
      </c>
      <c r="D27" s="57"/>
      <c r="E27" s="57"/>
      <c r="F27" s="57"/>
      <c r="G27" s="1" t="s">
        <v>78</v>
      </c>
      <c r="H27" s="20">
        <v>166</v>
      </c>
      <c r="I27" s="20">
        <v>0</v>
      </c>
      <c r="J27" s="20">
        <f t="shared" si="24"/>
        <v>0</v>
      </c>
      <c r="K27" s="20">
        <f t="shared" si="25"/>
        <v>0</v>
      </c>
      <c r="L27" s="20">
        <f t="shared" si="26"/>
        <v>0</v>
      </c>
      <c r="M27" s="54" t="s">
        <v>241</v>
      </c>
      <c r="Z27" s="20">
        <f t="shared" si="27"/>
        <v>0</v>
      </c>
      <c r="AB27" s="20">
        <f t="shared" si="28"/>
        <v>0</v>
      </c>
      <c r="AC27" s="20">
        <f t="shared" si="29"/>
        <v>0</v>
      </c>
      <c r="AD27" s="20">
        <f t="shared" si="30"/>
        <v>0</v>
      </c>
      <c r="AE27" s="20">
        <f t="shared" si="31"/>
        <v>0</v>
      </c>
      <c r="AF27" s="20">
        <f t="shared" si="32"/>
        <v>0</v>
      </c>
      <c r="AG27" s="20">
        <f t="shared" si="33"/>
        <v>0</v>
      </c>
      <c r="AH27" s="20">
        <f t="shared" si="34"/>
        <v>0</v>
      </c>
      <c r="AI27" s="12" t="s">
        <v>202</v>
      </c>
      <c r="AJ27" s="20">
        <f t="shared" si="35"/>
        <v>0</v>
      </c>
      <c r="AK27" s="20">
        <f t="shared" si="36"/>
        <v>0</v>
      </c>
      <c r="AL27" s="20">
        <f t="shared" si="37"/>
        <v>0</v>
      </c>
      <c r="AN27" s="20">
        <v>21</v>
      </c>
      <c r="AO27" s="20">
        <f>I27*0.00977542644512397</f>
        <v>0</v>
      </c>
      <c r="AP27" s="20">
        <f>I27*(1-0.00977542644512397)</f>
        <v>0</v>
      </c>
      <c r="AQ27" s="19" t="s">
        <v>294</v>
      </c>
      <c r="AV27" s="20">
        <f t="shared" si="38"/>
        <v>0</v>
      </c>
      <c r="AW27" s="20">
        <f t="shared" si="39"/>
        <v>0</v>
      </c>
      <c r="AX27" s="20">
        <f t="shared" si="40"/>
        <v>0</v>
      </c>
      <c r="AY27" s="19" t="s">
        <v>142</v>
      </c>
      <c r="AZ27" s="19" t="s">
        <v>39</v>
      </c>
      <c r="BA27" s="12" t="s">
        <v>220</v>
      </c>
      <c r="BC27" s="20">
        <f t="shared" si="41"/>
        <v>0</v>
      </c>
      <c r="BD27" s="20">
        <f t="shared" si="42"/>
        <v>0</v>
      </c>
      <c r="BE27" s="20">
        <v>0</v>
      </c>
      <c r="BF27" s="20">
        <f>27</f>
        <v>27</v>
      </c>
      <c r="BH27" s="20">
        <f t="shared" si="43"/>
        <v>0</v>
      </c>
      <c r="BI27" s="20">
        <f t="shared" si="44"/>
        <v>0</v>
      </c>
      <c r="BJ27" s="20">
        <f t="shared" si="45"/>
        <v>0</v>
      </c>
      <c r="BK27" s="20"/>
      <c r="BL27" s="20">
        <v>18</v>
      </c>
    </row>
    <row r="28" spans="1:64" ht="15" customHeight="1">
      <c r="A28" s="38" t="s">
        <v>89</v>
      </c>
      <c r="B28" s="1" t="s">
        <v>100</v>
      </c>
      <c r="C28" s="57" t="s">
        <v>226</v>
      </c>
      <c r="D28" s="57"/>
      <c r="E28" s="57"/>
      <c r="F28" s="57"/>
      <c r="G28" s="1" t="s">
        <v>78</v>
      </c>
      <c r="H28" s="20">
        <v>166</v>
      </c>
      <c r="I28" s="20">
        <v>0</v>
      </c>
      <c r="J28" s="20">
        <f t="shared" si="24"/>
        <v>0</v>
      </c>
      <c r="K28" s="20">
        <f t="shared" si="25"/>
        <v>0</v>
      </c>
      <c r="L28" s="20">
        <f t="shared" si="26"/>
        <v>0</v>
      </c>
      <c r="M28" s="54" t="s">
        <v>202</v>
      </c>
      <c r="Z28" s="20">
        <f t="shared" si="27"/>
        <v>0</v>
      </c>
      <c r="AB28" s="20">
        <f t="shared" si="28"/>
        <v>0</v>
      </c>
      <c r="AC28" s="20">
        <f t="shared" si="29"/>
        <v>0</v>
      </c>
      <c r="AD28" s="20">
        <f t="shared" si="30"/>
        <v>0</v>
      </c>
      <c r="AE28" s="20">
        <f t="shared" si="31"/>
        <v>0</v>
      </c>
      <c r="AF28" s="20">
        <f t="shared" si="32"/>
        <v>0</v>
      </c>
      <c r="AG28" s="20">
        <f t="shared" si="33"/>
        <v>0</v>
      </c>
      <c r="AH28" s="20">
        <f t="shared" si="34"/>
        <v>0</v>
      </c>
      <c r="AI28" s="12" t="s">
        <v>202</v>
      </c>
      <c r="AJ28" s="20">
        <f t="shared" si="35"/>
        <v>0</v>
      </c>
      <c r="AK28" s="20">
        <f t="shared" si="36"/>
        <v>0</v>
      </c>
      <c r="AL28" s="20">
        <f t="shared" si="37"/>
        <v>0</v>
      </c>
      <c r="AN28" s="20">
        <v>21</v>
      </c>
      <c r="AO28" s="20">
        <f>I28*1</f>
        <v>0</v>
      </c>
      <c r="AP28" s="20">
        <f>I28*(1-1)</f>
        <v>0</v>
      </c>
      <c r="AQ28" s="19" t="s">
        <v>294</v>
      </c>
      <c r="AV28" s="20">
        <f t="shared" si="38"/>
        <v>0</v>
      </c>
      <c r="AW28" s="20">
        <f t="shared" si="39"/>
        <v>0</v>
      </c>
      <c r="AX28" s="20">
        <f t="shared" si="40"/>
        <v>0</v>
      </c>
      <c r="AY28" s="19" t="s">
        <v>142</v>
      </c>
      <c r="AZ28" s="19" t="s">
        <v>39</v>
      </c>
      <c r="BA28" s="12" t="s">
        <v>220</v>
      </c>
      <c r="BC28" s="20">
        <f t="shared" si="41"/>
        <v>0</v>
      </c>
      <c r="BD28" s="20">
        <f t="shared" si="42"/>
        <v>0</v>
      </c>
      <c r="BE28" s="20">
        <v>0</v>
      </c>
      <c r="BF28" s="20">
        <f>28</f>
        <v>28</v>
      </c>
      <c r="BH28" s="20">
        <f t="shared" si="43"/>
        <v>0</v>
      </c>
      <c r="BI28" s="20">
        <f t="shared" si="44"/>
        <v>0</v>
      </c>
      <c r="BJ28" s="20">
        <f t="shared" si="45"/>
        <v>0</v>
      </c>
      <c r="BK28" s="20"/>
      <c r="BL28" s="20">
        <v>18</v>
      </c>
    </row>
    <row r="29" spans="1:64" ht="15" customHeight="1">
      <c r="A29" s="38" t="s">
        <v>163</v>
      </c>
      <c r="B29" s="1" t="s">
        <v>248</v>
      </c>
      <c r="C29" s="57" t="s">
        <v>313</v>
      </c>
      <c r="D29" s="57"/>
      <c r="E29" s="57"/>
      <c r="F29" s="57"/>
      <c r="G29" s="1" t="s">
        <v>284</v>
      </c>
      <c r="H29" s="20">
        <v>23.75</v>
      </c>
      <c r="I29" s="20">
        <v>0</v>
      </c>
      <c r="J29" s="20">
        <f t="shared" si="24"/>
        <v>0</v>
      </c>
      <c r="K29" s="20">
        <f t="shared" si="25"/>
        <v>0</v>
      </c>
      <c r="L29" s="20">
        <f t="shared" si="26"/>
        <v>0</v>
      </c>
      <c r="M29" s="54" t="s">
        <v>241</v>
      </c>
      <c r="Z29" s="20">
        <f t="shared" si="27"/>
        <v>0</v>
      </c>
      <c r="AB29" s="20">
        <f t="shared" si="28"/>
        <v>0</v>
      </c>
      <c r="AC29" s="20">
        <f t="shared" si="29"/>
        <v>0</v>
      </c>
      <c r="AD29" s="20">
        <f t="shared" si="30"/>
        <v>0</v>
      </c>
      <c r="AE29" s="20">
        <f t="shared" si="31"/>
        <v>0</v>
      </c>
      <c r="AF29" s="20">
        <f t="shared" si="32"/>
        <v>0</v>
      </c>
      <c r="AG29" s="20">
        <f t="shared" si="33"/>
        <v>0</v>
      </c>
      <c r="AH29" s="20">
        <f t="shared" si="34"/>
        <v>0</v>
      </c>
      <c r="AI29" s="12" t="s">
        <v>202</v>
      </c>
      <c r="AJ29" s="20">
        <f t="shared" si="35"/>
        <v>0</v>
      </c>
      <c r="AK29" s="20">
        <f t="shared" si="36"/>
        <v>0</v>
      </c>
      <c r="AL29" s="20">
        <f t="shared" si="37"/>
        <v>0</v>
      </c>
      <c r="AN29" s="20">
        <v>21</v>
      </c>
      <c r="AO29" s="20">
        <f>I29*0</f>
        <v>0</v>
      </c>
      <c r="AP29" s="20">
        <f>I29*(1-0)</f>
        <v>0</v>
      </c>
      <c r="AQ29" s="19" t="s">
        <v>294</v>
      </c>
      <c r="AV29" s="20">
        <f t="shared" si="38"/>
        <v>0</v>
      </c>
      <c r="AW29" s="20">
        <f t="shared" si="39"/>
        <v>0</v>
      </c>
      <c r="AX29" s="20">
        <f t="shared" si="40"/>
        <v>0</v>
      </c>
      <c r="AY29" s="19" t="s">
        <v>142</v>
      </c>
      <c r="AZ29" s="19" t="s">
        <v>39</v>
      </c>
      <c r="BA29" s="12" t="s">
        <v>220</v>
      </c>
      <c r="BC29" s="20">
        <f t="shared" si="41"/>
        <v>0</v>
      </c>
      <c r="BD29" s="20">
        <f t="shared" si="42"/>
        <v>0</v>
      </c>
      <c r="BE29" s="20">
        <v>0</v>
      </c>
      <c r="BF29" s="20">
        <f>29</f>
        <v>29</v>
      </c>
      <c r="BH29" s="20">
        <f t="shared" si="43"/>
        <v>0</v>
      </c>
      <c r="BI29" s="20">
        <f t="shared" si="44"/>
        <v>0</v>
      </c>
      <c r="BJ29" s="20">
        <f t="shared" si="45"/>
        <v>0</v>
      </c>
      <c r="BK29" s="20"/>
      <c r="BL29" s="20">
        <v>18</v>
      </c>
    </row>
    <row r="30" spans="1:64" ht="15" customHeight="1">
      <c r="A30" s="38" t="s">
        <v>115</v>
      </c>
      <c r="B30" s="1" t="s">
        <v>187</v>
      </c>
      <c r="C30" s="57" t="s">
        <v>287</v>
      </c>
      <c r="D30" s="57"/>
      <c r="E30" s="57"/>
      <c r="F30" s="57"/>
      <c r="G30" s="1" t="s">
        <v>78</v>
      </c>
      <c r="H30" s="20">
        <v>950</v>
      </c>
      <c r="I30" s="20">
        <v>0</v>
      </c>
      <c r="J30" s="20">
        <f t="shared" si="24"/>
        <v>0</v>
      </c>
      <c r="K30" s="20">
        <f t="shared" si="25"/>
        <v>0</v>
      </c>
      <c r="L30" s="20">
        <f t="shared" si="26"/>
        <v>0</v>
      </c>
      <c r="M30" s="54" t="s">
        <v>241</v>
      </c>
      <c r="Z30" s="20">
        <f t="shared" si="27"/>
        <v>0</v>
      </c>
      <c r="AB30" s="20">
        <f t="shared" si="28"/>
        <v>0</v>
      </c>
      <c r="AC30" s="20">
        <f t="shared" si="29"/>
        <v>0</v>
      </c>
      <c r="AD30" s="20">
        <f t="shared" si="30"/>
        <v>0</v>
      </c>
      <c r="AE30" s="20">
        <f t="shared" si="31"/>
        <v>0</v>
      </c>
      <c r="AF30" s="20">
        <f t="shared" si="32"/>
        <v>0</v>
      </c>
      <c r="AG30" s="20">
        <f t="shared" si="33"/>
        <v>0</v>
      </c>
      <c r="AH30" s="20">
        <f t="shared" si="34"/>
        <v>0</v>
      </c>
      <c r="AI30" s="12" t="s">
        <v>202</v>
      </c>
      <c r="AJ30" s="20">
        <f t="shared" si="35"/>
        <v>0</v>
      </c>
      <c r="AK30" s="20">
        <f t="shared" si="36"/>
        <v>0</v>
      </c>
      <c r="AL30" s="20">
        <f t="shared" si="37"/>
        <v>0</v>
      </c>
      <c r="AN30" s="20">
        <v>21</v>
      </c>
      <c r="AO30" s="20">
        <f>I30*0</f>
        <v>0</v>
      </c>
      <c r="AP30" s="20">
        <f>I30*(1-0)</f>
        <v>0</v>
      </c>
      <c r="AQ30" s="19" t="s">
        <v>294</v>
      </c>
      <c r="AV30" s="20">
        <f t="shared" si="38"/>
        <v>0</v>
      </c>
      <c r="AW30" s="20">
        <f t="shared" si="39"/>
        <v>0</v>
      </c>
      <c r="AX30" s="20">
        <f t="shared" si="40"/>
        <v>0</v>
      </c>
      <c r="AY30" s="19" t="s">
        <v>142</v>
      </c>
      <c r="AZ30" s="19" t="s">
        <v>39</v>
      </c>
      <c r="BA30" s="12" t="s">
        <v>220</v>
      </c>
      <c r="BC30" s="20">
        <f t="shared" si="41"/>
        <v>0</v>
      </c>
      <c r="BD30" s="20">
        <f t="shared" si="42"/>
        <v>0</v>
      </c>
      <c r="BE30" s="20">
        <v>0</v>
      </c>
      <c r="BF30" s="20">
        <f>30</f>
        <v>30</v>
      </c>
      <c r="BH30" s="20">
        <f t="shared" si="43"/>
        <v>0</v>
      </c>
      <c r="BI30" s="20">
        <f t="shared" si="44"/>
        <v>0</v>
      </c>
      <c r="BJ30" s="20">
        <f t="shared" si="45"/>
        <v>0</v>
      </c>
      <c r="BK30" s="20"/>
      <c r="BL30" s="20">
        <v>18</v>
      </c>
    </row>
    <row r="31" spans="1:64" ht="15" customHeight="1">
      <c r="A31" s="38" t="s">
        <v>32</v>
      </c>
      <c r="B31" s="1" t="s">
        <v>1</v>
      </c>
      <c r="C31" s="57" t="s">
        <v>74</v>
      </c>
      <c r="D31" s="57"/>
      <c r="E31" s="57"/>
      <c r="F31" s="57"/>
      <c r="G31" s="1" t="s">
        <v>78</v>
      </c>
      <c r="H31" s="20">
        <v>950</v>
      </c>
      <c r="I31" s="20">
        <v>0</v>
      </c>
      <c r="J31" s="20">
        <f t="shared" si="24"/>
        <v>0</v>
      </c>
      <c r="K31" s="20">
        <f t="shared" si="25"/>
        <v>0</v>
      </c>
      <c r="L31" s="20">
        <f t="shared" si="26"/>
        <v>0</v>
      </c>
      <c r="M31" s="54" t="s">
        <v>241</v>
      </c>
      <c r="Z31" s="20">
        <f t="shared" si="27"/>
        <v>0</v>
      </c>
      <c r="AB31" s="20">
        <f t="shared" si="28"/>
        <v>0</v>
      </c>
      <c r="AC31" s="20">
        <f t="shared" si="29"/>
        <v>0</v>
      </c>
      <c r="AD31" s="20">
        <f t="shared" si="30"/>
        <v>0</v>
      </c>
      <c r="AE31" s="20">
        <f t="shared" si="31"/>
        <v>0</v>
      </c>
      <c r="AF31" s="20">
        <f t="shared" si="32"/>
        <v>0</v>
      </c>
      <c r="AG31" s="20">
        <f t="shared" si="33"/>
        <v>0</v>
      </c>
      <c r="AH31" s="20">
        <f t="shared" si="34"/>
        <v>0</v>
      </c>
      <c r="AI31" s="12" t="s">
        <v>202</v>
      </c>
      <c r="AJ31" s="20">
        <f t="shared" si="35"/>
        <v>0</v>
      </c>
      <c r="AK31" s="20">
        <f t="shared" si="36"/>
        <v>0</v>
      </c>
      <c r="AL31" s="20">
        <f t="shared" si="37"/>
        <v>0</v>
      </c>
      <c r="AN31" s="20">
        <v>21</v>
      </c>
      <c r="AO31" s="20">
        <f>I31*0.0175438596491228</f>
        <v>0</v>
      </c>
      <c r="AP31" s="20">
        <f>I31*(1-0.0175438596491228)</f>
        <v>0</v>
      </c>
      <c r="AQ31" s="19" t="s">
        <v>294</v>
      </c>
      <c r="AV31" s="20">
        <f t="shared" si="38"/>
        <v>0</v>
      </c>
      <c r="AW31" s="20">
        <f t="shared" si="39"/>
        <v>0</v>
      </c>
      <c r="AX31" s="20">
        <f t="shared" si="40"/>
        <v>0</v>
      </c>
      <c r="AY31" s="19" t="s">
        <v>142</v>
      </c>
      <c r="AZ31" s="19" t="s">
        <v>39</v>
      </c>
      <c r="BA31" s="12" t="s">
        <v>220</v>
      </c>
      <c r="BC31" s="20">
        <f t="shared" si="41"/>
        <v>0</v>
      </c>
      <c r="BD31" s="20">
        <f t="shared" si="42"/>
        <v>0</v>
      </c>
      <c r="BE31" s="20">
        <v>0</v>
      </c>
      <c r="BF31" s="20">
        <f>31</f>
        <v>31</v>
      </c>
      <c r="BH31" s="20">
        <f t="shared" si="43"/>
        <v>0</v>
      </c>
      <c r="BI31" s="20">
        <f t="shared" si="44"/>
        <v>0</v>
      </c>
      <c r="BJ31" s="20">
        <f t="shared" si="45"/>
        <v>0</v>
      </c>
      <c r="BK31" s="20"/>
      <c r="BL31" s="20">
        <v>18</v>
      </c>
    </row>
    <row r="32" spans="1:64" ht="15" customHeight="1">
      <c r="A32" s="38" t="s">
        <v>203</v>
      </c>
      <c r="B32" s="1" t="s">
        <v>266</v>
      </c>
      <c r="C32" s="57" t="s">
        <v>27</v>
      </c>
      <c r="D32" s="57"/>
      <c r="E32" s="57"/>
      <c r="F32" s="57"/>
      <c r="G32" s="1" t="s">
        <v>78</v>
      </c>
      <c r="H32" s="20">
        <v>950</v>
      </c>
      <c r="I32" s="20">
        <v>0</v>
      </c>
      <c r="J32" s="20">
        <f t="shared" si="24"/>
        <v>0</v>
      </c>
      <c r="K32" s="20">
        <f t="shared" si="25"/>
        <v>0</v>
      </c>
      <c r="L32" s="20">
        <f t="shared" si="26"/>
        <v>0</v>
      </c>
      <c r="M32" s="54" t="s">
        <v>202</v>
      </c>
      <c r="Z32" s="20">
        <f t="shared" si="27"/>
        <v>0</v>
      </c>
      <c r="AB32" s="20">
        <f t="shared" si="28"/>
        <v>0</v>
      </c>
      <c r="AC32" s="20">
        <f t="shared" si="29"/>
        <v>0</v>
      </c>
      <c r="AD32" s="20">
        <f t="shared" si="30"/>
        <v>0</v>
      </c>
      <c r="AE32" s="20">
        <f t="shared" si="31"/>
        <v>0</v>
      </c>
      <c r="AF32" s="20">
        <f t="shared" si="32"/>
        <v>0</v>
      </c>
      <c r="AG32" s="20">
        <f t="shared" si="33"/>
        <v>0</v>
      </c>
      <c r="AH32" s="20">
        <f t="shared" si="34"/>
        <v>0</v>
      </c>
      <c r="AI32" s="12" t="s">
        <v>202</v>
      </c>
      <c r="AJ32" s="20">
        <f t="shared" si="35"/>
        <v>0</v>
      </c>
      <c r="AK32" s="20">
        <f t="shared" si="36"/>
        <v>0</v>
      </c>
      <c r="AL32" s="20">
        <f t="shared" si="37"/>
        <v>0</v>
      </c>
      <c r="AN32" s="20">
        <v>21</v>
      </c>
      <c r="AO32" s="20">
        <f>I32*0</f>
        <v>0</v>
      </c>
      <c r="AP32" s="20">
        <f>I32*(1-0)</f>
        <v>0</v>
      </c>
      <c r="AQ32" s="19" t="s">
        <v>294</v>
      </c>
      <c r="AV32" s="20">
        <f t="shared" si="38"/>
        <v>0</v>
      </c>
      <c r="AW32" s="20">
        <f t="shared" si="39"/>
        <v>0</v>
      </c>
      <c r="AX32" s="20">
        <f t="shared" si="40"/>
        <v>0</v>
      </c>
      <c r="AY32" s="19" t="s">
        <v>142</v>
      </c>
      <c r="AZ32" s="19" t="s">
        <v>39</v>
      </c>
      <c r="BA32" s="12" t="s">
        <v>220</v>
      </c>
      <c r="BC32" s="20">
        <f t="shared" si="41"/>
        <v>0</v>
      </c>
      <c r="BD32" s="20">
        <f t="shared" si="42"/>
        <v>0</v>
      </c>
      <c r="BE32" s="20">
        <v>0</v>
      </c>
      <c r="BF32" s="20">
        <f>32</f>
        <v>32</v>
      </c>
      <c r="BH32" s="20">
        <f t="shared" si="43"/>
        <v>0</v>
      </c>
      <c r="BI32" s="20">
        <f t="shared" si="44"/>
        <v>0</v>
      </c>
      <c r="BJ32" s="20">
        <f t="shared" si="45"/>
        <v>0</v>
      </c>
      <c r="BK32" s="20"/>
      <c r="BL32" s="20">
        <v>18</v>
      </c>
    </row>
    <row r="33" spans="1:64" ht="15" customHeight="1">
      <c r="A33" s="38" t="s">
        <v>230</v>
      </c>
      <c r="B33" s="1" t="s">
        <v>88</v>
      </c>
      <c r="C33" s="57" t="s">
        <v>19</v>
      </c>
      <c r="D33" s="57"/>
      <c r="E33" s="57"/>
      <c r="F33" s="57"/>
      <c r="G33" s="1" t="s">
        <v>284</v>
      </c>
      <c r="H33" s="20">
        <v>63.86</v>
      </c>
      <c r="I33" s="20">
        <v>0</v>
      </c>
      <c r="J33" s="20">
        <f t="shared" si="24"/>
        <v>0</v>
      </c>
      <c r="K33" s="20">
        <f t="shared" si="25"/>
        <v>0</v>
      </c>
      <c r="L33" s="20">
        <f t="shared" si="26"/>
        <v>0</v>
      </c>
      <c r="M33" s="54" t="s">
        <v>241</v>
      </c>
      <c r="Z33" s="20">
        <f t="shared" si="27"/>
        <v>0</v>
      </c>
      <c r="AB33" s="20">
        <f t="shared" si="28"/>
        <v>0</v>
      </c>
      <c r="AC33" s="20">
        <f t="shared" si="29"/>
        <v>0</v>
      </c>
      <c r="AD33" s="20">
        <f t="shared" si="30"/>
        <v>0</v>
      </c>
      <c r="AE33" s="20">
        <f t="shared" si="31"/>
        <v>0</v>
      </c>
      <c r="AF33" s="20">
        <f t="shared" si="32"/>
        <v>0</v>
      </c>
      <c r="AG33" s="20">
        <f t="shared" si="33"/>
        <v>0</v>
      </c>
      <c r="AH33" s="20">
        <f t="shared" si="34"/>
        <v>0</v>
      </c>
      <c r="AI33" s="12" t="s">
        <v>202</v>
      </c>
      <c r="AJ33" s="20">
        <f t="shared" si="35"/>
        <v>0</v>
      </c>
      <c r="AK33" s="20">
        <f t="shared" si="36"/>
        <v>0</v>
      </c>
      <c r="AL33" s="20">
        <f t="shared" si="37"/>
        <v>0</v>
      </c>
      <c r="AN33" s="20">
        <v>21</v>
      </c>
      <c r="AO33" s="20">
        <f>I33*0</f>
        <v>0</v>
      </c>
      <c r="AP33" s="20">
        <f>I33*(1-0)</f>
        <v>0</v>
      </c>
      <c r="AQ33" s="19" t="s">
        <v>294</v>
      </c>
      <c r="AV33" s="20">
        <f t="shared" si="38"/>
        <v>0</v>
      </c>
      <c r="AW33" s="20">
        <f t="shared" si="39"/>
        <v>0</v>
      </c>
      <c r="AX33" s="20">
        <f t="shared" si="40"/>
        <v>0</v>
      </c>
      <c r="AY33" s="19" t="s">
        <v>142</v>
      </c>
      <c r="AZ33" s="19" t="s">
        <v>39</v>
      </c>
      <c r="BA33" s="12" t="s">
        <v>220</v>
      </c>
      <c r="BC33" s="20">
        <f t="shared" si="41"/>
        <v>0</v>
      </c>
      <c r="BD33" s="20">
        <f t="shared" si="42"/>
        <v>0</v>
      </c>
      <c r="BE33" s="20">
        <v>0</v>
      </c>
      <c r="BF33" s="20">
        <f>33</f>
        <v>33</v>
      </c>
      <c r="BH33" s="20">
        <f t="shared" si="43"/>
        <v>0</v>
      </c>
      <c r="BI33" s="20">
        <f t="shared" si="44"/>
        <v>0</v>
      </c>
      <c r="BJ33" s="20">
        <f t="shared" si="45"/>
        <v>0</v>
      </c>
      <c r="BK33" s="20"/>
      <c r="BL33" s="20">
        <v>18</v>
      </c>
    </row>
    <row r="34" spans="1:64" ht="15" customHeight="1">
      <c r="A34" s="38" t="s">
        <v>178</v>
      </c>
      <c r="B34" s="1" t="s">
        <v>291</v>
      </c>
      <c r="C34" s="57" t="s">
        <v>46</v>
      </c>
      <c r="D34" s="57"/>
      <c r="E34" s="57"/>
      <c r="F34" s="57"/>
      <c r="G34" s="1" t="s">
        <v>278</v>
      </c>
      <c r="H34" s="20">
        <v>12.772</v>
      </c>
      <c r="I34" s="20">
        <v>0</v>
      </c>
      <c r="J34" s="20">
        <f t="shared" si="24"/>
        <v>0</v>
      </c>
      <c r="K34" s="20">
        <f t="shared" si="25"/>
        <v>0</v>
      </c>
      <c r="L34" s="20">
        <f t="shared" si="26"/>
        <v>0</v>
      </c>
      <c r="M34" s="54" t="s">
        <v>241</v>
      </c>
      <c r="Z34" s="20">
        <f t="shared" si="27"/>
        <v>0</v>
      </c>
      <c r="AB34" s="20">
        <f t="shared" si="28"/>
        <v>0</v>
      </c>
      <c r="AC34" s="20">
        <f t="shared" si="29"/>
        <v>0</v>
      </c>
      <c r="AD34" s="20">
        <f t="shared" si="30"/>
        <v>0</v>
      </c>
      <c r="AE34" s="20">
        <f t="shared" si="31"/>
        <v>0</v>
      </c>
      <c r="AF34" s="20">
        <f t="shared" si="32"/>
        <v>0</v>
      </c>
      <c r="AG34" s="20">
        <f t="shared" si="33"/>
        <v>0</v>
      </c>
      <c r="AH34" s="20">
        <f t="shared" si="34"/>
        <v>0</v>
      </c>
      <c r="AI34" s="12" t="s">
        <v>202</v>
      </c>
      <c r="AJ34" s="20">
        <f t="shared" si="35"/>
        <v>0</v>
      </c>
      <c r="AK34" s="20">
        <f t="shared" si="36"/>
        <v>0</v>
      </c>
      <c r="AL34" s="20">
        <f t="shared" si="37"/>
        <v>0</v>
      </c>
      <c r="AN34" s="20">
        <v>21</v>
      </c>
      <c r="AO34" s="20">
        <f>I34*1</f>
        <v>0</v>
      </c>
      <c r="AP34" s="20">
        <f>I34*(1-1)</f>
        <v>0</v>
      </c>
      <c r="AQ34" s="19" t="s">
        <v>294</v>
      </c>
      <c r="AV34" s="20">
        <f t="shared" si="38"/>
        <v>0</v>
      </c>
      <c r="AW34" s="20">
        <f t="shared" si="39"/>
        <v>0</v>
      </c>
      <c r="AX34" s="20">
        <f t="shared" si="40"/>
        <v>0</v>
      </c>
      <c r="AY34" s="19" t="s">
        <v>142</v>
      </c>
      <c r="AZ34" s="19" t="s">
        <v>39</v>
      </c>
      <c r="BA34" s="12" t="s">
        <v>220</v>
      </c>
      <c r="BC34" s="20">
        <f t="shared" si="41"/>
        <v>0</v>
      </c>
      <c r="BD34" s="20">
        <f t="shared" si="42"/>
        <v>0</v>
      </c>
      <c r="BE34" s="20">
        <v>0</v>
      </c>
      <c r="BF34" s="20">
        <f>34</f>
        <v>34</v>
      </c>
      <c r="BH34" s="20">
        <f t="shared" si="43"/>
        <v>0</v>
      </c>
      <c r="BI34" s="20">
        <f t="shared" si="44"/>
        <v>0</v>
      </c>
      <c r="BJ34" s="20">
        <f t="shared" si="45"/>
        <v>0</v>
      </c>
      <c r="BK34" s="20"/>
      <c r="BL34" s="20">
        <v>18</v>
      </c>
    </row>
    <row r="35" spans="1:64" ht="15" customHeight="1">
      <c r="A35" s="38" t="s">
        <v>12</v>
      </c>
      <c r="B35" s="1" t="s">
        <v>145</v>
      </c>
      <c r="C35" s="57" t="s">
        <v>130</v>
      </c>
      <c r="D35" s="57"/>
      <c r="E35" s="57"/>
      <c r="F35" s="57"/>
      <c r="G35" s="1" t="s">
        <v>284</v>
      </c>
      <c r="H35" s="20">
        <v>63.86</v>
      </c>
      <c r="I35" s="20">
        <v>0</v>
      </c>
      <c r="J35" s="20">
        <f t="shared" si="24"/>
        <v>0</v>
      </c>
      <c r="K35" s="20">
        <f t="shared" si="25"/>
        <v>0</v>
      </c>
      <c r="L35" s="20">
        <f t="shared" si="26"/>
        <v>0</v>
      </c>
      <c r="M35" s="54" t="s">
        <v>241</v>
      </c>
      <c r="Z35" s="20">
        <f t="shared" si="27"/>
        <v>0</v>
      </c>
      <c r="AB35" s="20">
        <f t="shared" si="28"/>
        <v>0</v>
      </c>
      <c r="AC35" s="20">
        <f t="shared" si="29"/>
        <v>0</v>
      </c>
      <c r="AD35" s="20">
        <f t="shared" si="30"/>
        <v>0</v>
      </c>
      <c r="AE35" s="20">
        <f t="shared" si="31"/>
        <v>0</v>
      </c>
      <c r="AF35" s="20">
        <f t="shared" si="32"/>
        <v>0</v>
      </c>
      <c r="AG35" s="20">
        <f t="shared" si="33"/>
        <v>0</v>
      </c>
      <c r="AH35" s="20">
        <f t="shared" si="34"/>
        <v>0</v>
      </c>
      <c r="AI35" s="12" t="s">
        <v>202</v>
      </c>
      <c r="AJ35" s="20">
        <f t="shared" si="35"/>
        <v>0</v>
      </c>
      <c r="AK35" s="20">
        <f t="shared" si="36"/>
        <v>0</v>
      </c>
      <c r="AL35" s="20">
        <f t="shared" si="37"/>
        <v>0</v>
      </c>
      <c r="AN35" s="20">
        <v>21</v>
      </c>
      <c r="AO35" s="20">
        <f>I35*0</f>
        <v>0</v>
      </c>
      <c r="AP35" s="20">
        <f>I35*(1-0)</f>
        <v>0</v>
      </c>
      <c r="AQ35" s="19" t="s">
        <v>294</v>
      </c>
      <c r="AV35" s="20">
        <f t="shared" si="38"/>
        <v>0</v>
      </c>
      <c r="AW35" s="20">
        <f t="shared" si="39"/>
        <v>0</v>
      </c>
      <c r="AX35" s="20">
        <f t="shared" si="40"/>
        <v>0</v>
      </c>
      <c r="AY35" s="19" t="s">
        <v>142</v>
      </c>
      <c r="AZ35" s="19" t="s">
        <v>39</v>
      </c>
      <c r="BA35" s="12" t="s">
        <v>220</v>
      </c>
      <c r="BC35" s="20">
        <f t="shared" si="41"/>
        <v>0</v>
      </c>
      <c r="BD35" s="20">
        <f t="shared" si="42"/>
        <v>0</v>
      </c>
      <c r="BE35" s="20">
        <v>0</v>
      </c>
      <c r="BF35" s="20">
        <f>35</f>
        <v>35</v>
      </c>
      <c r="BH35" s="20">
        <f t="shared" si="43"/>
        <v>0</v>
      </c>
      <c r="BI35" s="20">
        <f t="shared" si="44"/>
        <v>0</v>
      </c>
      <c r="BJ35" s="20">
        <f t="shared" si="45"/>
        <v>0</v>
      </c>
      <c r="BK35" s="20"/>
      <c r="BL35" s="20">
        <v>18</v>
      </c>
    </row>
    <row r="36" spans="1:64" ht="15" customHeight="1">
      <c r="A36" s="38" t="s">
        <v>205</v>
      </c>
      <c r="B36" s="1" t="s">
        <v>25</v>
      </c>
      <c r="C36" s="57" t="s">
        <v>296</v>
      </c>
      <c r="D36" s="57"/>
      <c r="E36" s="57"/>
      <c r="F36" s="57"/>
      <c r="G36" s="1" t="s">
        <v>278</v>
      </c>
      <c r="H36" s="20">
        <v>6.386</v>
      </c>
      <c r="I36" s="20">
        <v>0</v>
      </c>
      <c r="J36" s="20">
        <f t="shared" si="24"/>
        <v>0</v>
      </c>
      <c r="K36" s="20">
        <f t="shared" si="25"/>
        <v>0</v>
      </c>
      <c r="L36" s="20">
        <f t="shared" si="26"/>
        <v>0</v>
      </c>
      <c r="M36" s="54" t="s">
        <v>241</v>
      </c>
      <c r="Z36" s="20">
        <f t="shared" si="27"/>
        <v>0</v>
      </c>
      <c r="AB36" s="20">
        <f t="shared" si="28"/>
        <v>0</v>
      </c>
      <c r="AC36" s="20">
        <f t="shared" si="29"/>
        <v>0</v>
      </c>
      <c r="AD36" s="20">
        <f t="shared" si="30"/>
        <v>0</v>
      </c>
      <c r="AE36" s="20">
        <f t="shared" si="31"/>
        <v>0</v>
      </c>
      <c r="AF36" s="20">
        <f t="shared" si="32"/>
        <v>0</v>
      </c>
      <c r="AG36" s="20">
        <f t="shared" si="33"/>
        <v>0</v>
      </c>
      <c r="AH36" s="20">
        <f t="shared" si="34"/>
        <v>0</v>
      </c>
      <c r="AI36" s="12" t="s">
        <v>202</v>
      </c>
      <c r="AJ36" s="20">
        <f t="shared" si="35"/>
        <v>0</v>
      </c>
      <c r="AK36" s="20">
        <f t="shared" si="36"/>
        <v>0</v>
      </c>
      <c r="AL36" s="20">
        <f t="shared" si="37"/>
        <v>0</v>
      </c>
      <c r="AN36" s="20">
        <v>21</v>
      </c>
      <c r="AO36" s="20">
        <f>I36*1</f>
        <v>0</v>
      </c>
      <c r="AP36" s="20">
        <f>I36*(1-1)</f>
        <v>0</v>
      </c>
      <c r="AQ36" s="19" t="s">
        <v>294</v>
      </c>
      <c r="AV36" s="20">
        <f t="shared" si="38"/>
        <v>0</v>
      </c>
      <c r="AW36" s="20">
        <f t="shared" si="39"/>
        <v>0</v>
      </c>
      <c r="AX36" s="20">
        <f t="shared" si="40"/>
        <v>0</v>
      </c>
      <c r="AY36" s="19" t="s">
        <v>142</v>
      </c>
      <c r="AZ36" s="19" t="s">
        <v>39</v>
      </c>
      <c r="BA36" s="12" t="s">
        <v>220</v>
      </c>
      <c r="BC36" s="20">
        <f t="shared" si="41"/>
        <v>0</v>
      </c>
      <c r="BD36" s="20">
        <f t="shared" si="42"/>
        <v>0</v>
      </c>
      <c r="BE36" s="20">
        <v>0</v>
      </c>
      <c r="BF36" s="20">
        <f>36</f>
        <v>36</v>
      </c>
      <c r="BH36" s="20">
        <f t="shared" si="43"/>
        <v>0</v>
      </c>
      <c r="BI36" s="20">
        <f t="shared" si="44"/>
        <v>0</v>
      </c>
      <c r="BJ36" s="20">
        <f t="shared" si="45"/>
        <v>0</v>
      </c>
      <c r="BK36" s="20"/>
      <c r="BL36" s="20">
        <v>18</v>
      </c>
    </row>
    <row r="37" spans="1:64" ht="15" customHeight="1">
      <c r="A37" s="38" t="s">
        <v>274</v>
      </c>
      <c r="B37" s="1" t="s">
        <v>17</v>
      </c>
      <c r="C37" s="57" t="s">
        <v>8</v>
      </c>
      <c r="D37" s="57"/>
      <c r="E37" s="57"/>
      <c r="F37" s="57"/>
      <c r="G37" s="1" t="s">
        <v>284</v>
      </c>
      <c r="H37" s="20">
        <v>63.86</v>
      </c>
      <c r="I37" s="20">
        <v>0</v>
      </c>
      <c r="J37" s="20">
        <f t="shared" si="24"/>
        <v>0</v>
      </c>
      <c r="K37" s="20">
        <f t="shared" si="25"/>
        <v>0</v>
      </c>
      <c r="L37" s="20">
        <f t="shared" si="26"/>
        <v>0</v>
      </c>
      <c r="M37" s="54" t="s">
        <v>241</v>
      </c>
      <c r="Z37" s="20">
        <f t="shared" si="27"/>
        <v>0</v>
      </c>
      <c r="AB37" s="20">
        <f t="shared" si="28"/>
        <v>0</v>
      </c>
      <c r="AC37" s="20">
        <f t="shared" si="29"/>
        <v>0</v>
      </c>
      <c r="AD37" s="20">
        <f t="shared" si="30"/>
        <v>0</v>
      </c>
      <c r="AE37" s="20">
        <f t="shared" si="31"/>
        <v>0</v>
      </c>
      <c r="AF37" s="20">
        <f t="shared" si="32"/>
        <v>0</v>
      </c>
      <c r="AG37" s="20">
        <f t="shared" si="33"/>
        <v>0</v>
      </c>
      <c r="AH37" s="20">
        <f t="shared" si="34"/>
        <v>0</v>
      </c>
      <c r="AI37" s="12" t="s">
        <v>202</v>
      </c>
      <c r="AJ37" s="20">
        <f t="shared" si="35"/>
        <v>0</v>
      </c>
      <c r="AK37" s="20">
        <f t="shared" si="36"/>
        <v>0</v>
      </c>
      <c r="AL37" s="20">
        <f t="shared" si="37"/>
        <v>0</v>
      </c>
      <c r="AN37" s="20">
        <v>21</v>
      </c>
      <c r="AO37" s="20">
        <f>I37*0</f>
        <v>0</v>
      </c>
      <c r="AP37" s="20">
        <f>I37*(1-0)</f>
        <v>0</v>
      </c>
      <c r="AQ37" s="19" t="s">
        <v>294</v>
      </c>
      <c r="AV37" s="20">
        <f t="shared" si="38"/>
        <v>0</v>
      </c>
      <c r="AW37" s="20">
        <f t="shared" si="39"/>
        <v>0</v>
      </c>
      <c r="AX37" s="20">
        <f t="shared" si="40"/>
        <v>0</v>
      </c>
      <c r="AY37" s="19" t="s">
        <v>142</v>
      </c>
      <c r="AZ37" s="19" t="s">
        <v>39</v>
      </c>
      <c r="BA37" s="12" t="s">
        <v>220</v>
      </c>
      <c r="BC37" s="20">
        <f t="shared" si="41"/>
        <v>0</v>
      </c>
      <c r="BD37" s="20">
        <f t="shared" si="42"/>
        <v>0</v>
      </c>
      <c r="BE37" s="20">
        <v>0</v>
      </c>
      <c r="BF37" s="20">
        <f>37</f>
        <v>37</v>
      </c>
      <c r="BH37" s="20">
        <f t="shared" si="43"/>
        <v>0</v>
      </c>
      <c r="BI37" s="20">
        <f t="shared" si="44"/>
        <v>0</v>
      </c>
      <c r="BJ37" s="20">
        <f t="shared" si="45"/>
        <v>0</v>
      </c>
      <c r="BK37" s="20"/>
      <c r="BL37" s="20">
        <v>18</v>
      </c>
    </row>
    <row r="38" spans="1:64" ht="15" customHeight="1">
      <c r="A38" s="38" t="s">
        <v>129</v>
      </c>
      <c r="B38" s="1" t="s">
        <v>247</v>
      </c>
      <c r="C38" s="57" t="s">
        <v>306</v>
      </c>
      <c r="D38" s="57"/>
      <c r="E38" s="57"/>
      <c r="F38" s="57"/>
      <c r="G38" s="1" t="s">
        <v>78</v>
      </c>
      <c r="H38" s="20">
        <v>263</v>
      </c>
      <c r="I38" s="20">
        <v>0</v>
      </c>
      <c r="J38" s="20">
        <f t="shared" si="24"/>
        <v>0</v>
      </c>
      <c r="K38" s="20">
        <f t="shared" si="25"/>
        <v>0</v>
      </c>
      <c r="L38" s="20">
        <f t="shared" si="26"/>
        <v>0</v>
      </c>
      <c r="M38" s="54" t="s">
        <v>241</v>
      </c>
      <c r="Z38" s="20">
        <f t="shared" si="27"/>
        <v>0</v>
      </c>
      <c r="AB38" s="20">
        <f t="shared" si="28"/>
        <v>0</v>
      </c>
      <c r="AC38" s="20">
        <f t="shared" si="29"/>
        <v>0</v>
      </c>
      <c r="AD38" s="20">
        <f t="shared" si="30"/>
        <v>0</v>
      </c>
      <c r="AE38" s="20">
        <f t="shared" si="31"/>
        <v>0</v>
      </c>
      <c r="AF38" s="20">
        <f t="shared" si="32"/>
        <v>0</v>
      </c>
      <c r="AG38" s="20">
        <f t="shared" si="33"/>
        <v>0</v>
      </c>
      <c r="AH38" s="20">
        <f t="shared" si="34"/>
        <v>0</v>
      </c>
      <c r="AI38" s="12" t="s">
        <v>202</v>
      </c>
      <c r="AJ38" s="20">
        <f t="shared" si="35"/>
        <v>0</v>
      </c>
      <c r="AK38" s="20">
        <f t="shared" si="36"/>
        <v>0</v>
      </c>
      <c r="AL38" s="20">
        <f t="shared" si="37"/>
        <v>0</v>
      </c>
      <c r="AN38" s="20">
        <v>21</v>
      </c>
      <c r="AO38" s="20">
        <f>I38*0</f>
        <v>0</v>
      </c>
      <c r="AP38" s="20">
        <f>I38*(1-0)</f>
        <v>0</v>
      </c>
      <c r="AQ38" s="19" t="s">
        <v>294</v>
      </c>
      <c r="AV38" s="20">
        <f t="shared" si="38"/>
        <v>0</v>
      </c>
      <c r="AW38" s="20">
        <f t="shared" si="39"/>
        <v>0</v>
      </c>
      <c r="AX38" s="20">
        <f t="shared" si="40"/>
        <v>0</v>
      </c>
      <c r="AY38" s="19" t="s">
        <v>142</v>
      </c>
      <c r="AZ38" s="19" t="s">
        <v>39</v>
      </c>
      <c r="BA38" s="12" t="s">
        <v>220</v>
      </c>
      <c r="BC38" s="20">
        <f t="shared" si="41"/>
        <v>0</v>
      </c>
      <c r="BD38" s="20">
        <f t="shared" si="42"/>
        <v>0</v>
      </c>
      <c r="BE38" s="20">
        <v>0</v>
      </c>
      <c r="BF38" s="20">
        <f>38</f>
        <v>38</v>
      </c>
      <c r="BH38" s="20">
        <f t="shared" si="43"/>
        <v>0</v>
      </c>
      <c r="BI38" s="20">
        <f t="shared" si="44"/>
        <v>0</v>
      </c>
      <c r="BJ38" s="20">
        <f t="shared" si="45"/>
        <v>0</v>
      </c>
      <c r="BK38" s="20"/>
      <c r="BL38" s="20">
        <v>18</v>
      </c>
    </row>
    <row r="39" spans="1:64" ht="15" customHeight="1">
      <c r="A39" s="38" t="s">
        <v>34</v>
      </c>
      <c r="B39" s="1" t="s">
        <v>0</v>
      </c>
      <c r="C39" s="57" t="s">
        <v>237</v>
      </c>
      <c r="D39" s="57"/>
      <c r="E39" s="57"/>
      <c r="F39" s="57"/>
      <c r="G39" s="1" t="s">
        <v>78</v>
      </c>
      <c r="H39" s="20">
        <v>263</v>
      </c>
      <c r="I39" s="20">
        <v>0</v>
      </c>
      <c r="J39" s="20">
        <f t="shared" si="24"/>
        <v>0</v>
      </c>
      <c r="K39" s="20">
        <f t="shared" si="25"/>
        <v>0</v>
      </c>
      <c r="L39" s="20">
        <f t="shared" si="26"/>
        <v>0</v>
      </c>
      <c r="M39" s="54" t="s">
        <v>241</v>
      </c>
      <c r="Z39" s="20">
        <f t="shared" si="27"/>
        <v>0</v>
      </c>
      <c r="AB39" s="20">
        <f t="shared" si="28"/>
        <v>0</v>
      </c>
      <c r="AC39" s="20">
        <f t="shared" si="29"/>
        <v>0</v>
      </c>
      <c r="AD39" s="20">
        <f t="shared" si="30"/>
        <v>0</v>
      </c>
      <c r="AE39" s="20">
        <f t="shared" si="31"/>
        <v>0</v>
      </c>
      <c r="AF39" s="20">
        <f t="shared" si="32"/>
        <v>0</v>
      </c>
      <c r="AG39" s="20">
        <f t="shared" si="33"/>
        <v>0</v>
      </c>
      <c r="AH39" s="20">
        <f t="shared" si="34"/>
        <v>0</v>
      </c>
      <c r="AI39" s="12" t="s">
        <v>202</v>
      </c>
      <c r="AJ39" s="20">
        <f t="shared" si="35"/>
        <v>0</v>
      </c>
      <c r="AK39" s="20">
        <f t="shared" si="36"/>
        <v>0</v>
      </c>
      <c r="AL39" s="20">
        <f t="shared" si="37"/>
        <v>0</v>
      </c>
      <c r="AN39" s="20">
        <v>21</v>
      </c>
      <c r="AO39" s="20">
        <f>I39*0.0151298263798912</f>
        <v>0</v>
      </c>
      <c r="AP39" s="20">
        <f>I39*(1-0.0151298263798912)</f>
        <v>0</v>
      </c>
      <c r="AQ39" s="19" t="s">
        <v>294</v>
      </c>
      <c r="AV39" s="20">
        <f t="shared" si="38"/>
        <v>0</v>
      </c>
      <c r="AW39" s="20">
        <f t="shared" si="39"/>
        <v>0</v>
      </c>
      <c r="AX39" s="20">
        <f t="shared" si="40"/>
        <v>0</v>
      </c>
      <c r="AY39" s="19" t="s">
        <v>142</v>
      </c>
      <c r="AZ39" s="19" t="s">
        <v>39</v>
      </c>
      <c r="BA39" s="12" t="s">
        <v>220</v>
      </c>
      <c r="BC39" s="20">
        <f t="shared" si="41"/>
        <v>0</v>
      </c>
      <c r="BD39" s="20">
        <f t="shared" si="42"/>
        <v>0</v>
      </c>
      <c r="BE39" s="20">
        <v>0</v>
      </c>
      <c r="BF39" s="20">
        <f>39</f>
        <v>39</v>
      </c>
      <c r="BH39" s="20">
        <f t="shared" si="43"/>
        <v>0</v>
      </c>
      <c r="BI39" s="20">
        <f t="shared" si="44"/>
        <v>0</v>
      </c>
      <c r="BJ39" s="20">
        <f t="shared" si="45"/>
        <v>0</v>
      </c>
      <c r="BK39" s="20"/>
      <c r="BL39" s="20">
        <v>18</v>
      </c>
    </row>
    <row r="40" spans="1:64" ht="15" customHeight="1">
      <c r="A40" s="38" t="s">
        <v>77</v>
      </c>
      <c r="B40" s="1" t="s">
        <v>266</v>
      </c>
      <c r="C40" s="57" t="s">
        <v>319</v>
      </c>
      <c r="D40" s="57"/>
      <c r="E40" s="57"/>
      <c r="F40" s="57"/>
      <c r="G40" s="1" t="s">
        <v>78</v>
      </c>
      <c r="H40" s="20">
        <v>223</v>
      </c>
      <c r="I40" s="20">
        <v>0</v>
      </c>
      <c r="J40" s="20">
        <f t="shared" si="24"/>
        <v>0</v>
      </c>
      <c r="K40" s="20">
        <f t="shared" si="25"/>
        <v>0</v>
      </c>
      <c r="L40" s="20">
        <f t="shared" si="26"/>
        <v>0</v>
      </c>
      <c r="M40" s="54" t="s">
        <v>202</v>
      </c>
      <c r="Z40" s="20">
        <f t="shared" si="27"/>
        <v>0</v>
      </c>
      <c r="AB40" s="20">
        <f t="shared" si="28"/>
        <v>0</v>
      </c>
      <c r="AC40" s="20">
        <f t="shared" si="29"/>
        <v>0</v>
      </c>
      <c r="AD40" s="20">
        <f t="shared" si="30"/>
        <v>0</v>
      </c>
      <c r="AE40" s="20">
        <f t="shared" si="31"/>
        <v>0</v>
      </c>
      <c r="AF40" s="20">
        <f t="shared" si="32"/>
        <v>0</v>
      </c>
      <c r="AG40" s="20">
        <f t="shared" si="33"/>
        <v>0</v>
      </c>
      <c r="AH40" s="20">
        <f t="shared" si="34"/>
        <v>0</v>
      </c>
      <c r="AI40" s="12" t="s">
        <v>202</v>
      </c>
      <c r="AJ40" s="20">
        <f t="shared" si="35"/>
        <v>0</v>
      </c>
      <c r="AK40" s="20">
        <f t="shared" si="36"/>
        <v>0</v>
      </c>
      <c r="AL40" s="20">
        <f t="shared" si="37"/>
        <v>0</v>
      </c>
      <c r="AN40" s="20">
        <v>21</v>
      </c>
      <c r="AO40" s="20">
        <f>I40*0</f>
        <v>0</v>
      </c>
      <c r="AP40" s="20">
        <f>I40*(1-0)</f>
        <v>0</v>
      </c>
      <c r="AQ40" s="19" t="s">
        <v>294</v>
      </c>
      <c r="AV40" s="20">
        <f t="shared" si="38"/>
        <v>0</v>
      </c>
      <c r="AW40" s="20">
        <f t="shared" si="39"/>
        <v>0</v>
      </c>
      <c r="AX40" s="20">
        <f t="shared" si="40"/>
        <v>0</v>
      </c>
      <c r="AY40" s="19" t="s">
        <v>142</v>
      </c>
      <c r="AZ40" s="19" t="s">
        <v>39</v>
      </c>
      <c r="BA40" s="12" t="s">
        <v>220</v>
      </c>
      <c r="BC40" s="20">
        <f t="shared" si="41"/>
        <v>0</v>
      </c>
      <c r="BD40" s="20">
        <f t="shared" si="42"/>
        <v>0</v>
      </c>
      <c r="BE40" s="20">
        <v>0</v>
      </c>
      <c r="BF40" s="20">
        <f>40</f>
        <v>40</v>
      </c>
      <c r="BH40" s="20">
        <f t="shared" si="43"/>
        <v>0</v>
      </c>
      <c r="BI40" s="20">
        <f t="shared" si="44"/>
        <v>0</v>
      </c>
      <c r="BJ40" s="20">
        <f t="shared" si="45"/>
        <v>0</v>
      </c>
      <c r="BK40" s="20"/>
      <c r="BL40" s="20">
        <v>18</v>
      </c>
    </row>
    <row r="41" spans="1:64" ht="15" customHeight="1">
      <c r="A41" s="38" t="s">
        <v>45</v>
      </c>
      <c r="B41" s="1" t="s">
        <v>266</v>
      </c>
      <c r="C41" s="57" t="s">
        <v>65</v>
      </c>
      <c r="D41" s="57"/>
      <c r="E41" s="57"/>
      <c r="F41" s="57"/>
      <c r="G41" s="1" t="s">
        <v>78</v>
      </c>
      <c r="H41" s="20">
        <v>40</v>
      </c>
      <c r="I41" s="20">
        <v>0</v>
      </c>
      <c r="J41" s="20">
        <f t="shared" si="24"/>
        <v>0</v>
      </c>
      <c r="K41" s="20">
        <f t="shared" si="25"/>
        <v>0</v>
      </c>
      <c r="L41" s="20">
        <f t="shared" si="26"/>
        <v>0</v>
      </c>
      <c r="M41" s="54" t="s">
        <v>202</v>
      </c>
      <c r="Z41" s="20">
        <f t="shared" si="27"/>
        <v>0</v>
      </c>
      <c r="AB41" s="20">
        <f t="shared" si="28"/>
        <v>0</v>
      </c>
      <c r="AC41" s="20">
        <f t="shared" si="29"/>
        <v>0</v>
      </c>
      <c r="AD41" s="20">
        <f t="shared" si="30"/>
        <v>0</v>
      </c>
      <c r="AE41" s="20">
        <f t="shared" si="31"/>
        <v>0</v>
      </c>
      <c r="AF41" s="20">
        <f t="shared" si="32"/>
        <v>0</v>
      </c>
      <c r="AG41" s="20">
        <f t="shared" si="33"/>
        <v>0</v>
      </c>
      <c r="AH41" s="20">
        <f t="shared" si="34"/>
        <v>0</v>
      </c>
      <c r="AI41" s="12" t="s">
        <v>202</v>
      </c>
      <c r="AJ41" s="20">
        <f t="shared" si="35"/>
        <v>0</v>
      </c>
      <c r="AK41" s="20">
        <f t="shared" si="36"/>
        <v>0</v>
      </c>
      <c r="AL41" s="20">
        <f t="shared" si="37"/>
        <v>0</v>
      </c>
      <c r="AN41" s="20">
        <v>21</v>
      </c>
      <c r="AO41" s="20">
        <f>I41*0</f>
        <v>0</v>
      </c>
      <c r="AP41" s="20">
        <f>I41*(1-0)</f>
        <v>0</v>
      </c>
      <c r="AQ41" s="19" t="s">
        <v>294</v>
      </c>
      <c r="AV41" s="20">
        <f t="shared" si="38"/>
        <v>0</v>
      </c>
      <c r="AW41" s="20">
        <f t="shared" si="39"/>
        <v>0</v>
      </c>
      <c r="AX41" s="20">
        <f t="shared" si="40"/>
        <v>0</v>
      </c>
      <c r="AY41" s="19" t="s">
        <v>142</v>
      </c>
      <c r="AZ41" s="19" t="s">
        <v>39</v>
      </c>
      <c r="BA41" s="12" t="s">
        <v>220</v>
      </c>
      <c r="BC41" s="20">
        <f t="shared" si="41"/>
        <v>0</v>
      </c>
      <c r="BD41" s="20">
        <f t="shared" si="42"/>
        <v>0</v>
      </c>
      <c r="BE41" s="20">
        <v>0</v>
      </c>
      <c r="BF41" s="20">
        <f>41</f>
        <v>41</v>
      </c>
      <c r="BH41" s="20">
        <f t="shared" si="43"/>
        <v>0</v>
      </c>
      <c r="BI41" s="20">
        <f t="shared" si="44"/>
        <v>0</v>
      </c>
      <c r="BJ41" s="20">
        <f t="shared" si="45"/>
        <v>0</v>
      </c>
      <c r="BK41" s="20"/>
      <c r="BL41" s="20">
        <v>18</v>
      </c>
    </row>
    <row r="42" spans="1:64" ht="15" customHeight="1">
      <c r="A42" s="38" t="s">
        <v>282</v>
      </c>
      <c r="B42" s="1" t="s">
        <v>209</v>
      </c>
      <c r="C42" s="57" t="s">
        <v>91</v>
      </c>
      <c r="D42" s="57"/>
      <c r="E42" s="57"/>
      <c r="F42" s="57"/>
      <c r="G42" s="1" t="s">
        <v>284</v>
      </c>
      <c r="H42" s="20">
        <v>76.36</v>
      </c>
      <c r="I42" s="20">
        <v>0</v>
      </c>
      <c r="J42" s="20">
        <f t="shared" si="24"/>
        <v>0</v>
      </c>
      <c r="K42" s="20">
        <f t="shared" si="25"/>
        <v>0</v>
      </c>
      <c r="L42" s="20">
        <f t="shared" si="26"/>
        <v>0</v>
      </c>
      <c r="M42" s="54" t="s">
        <v>241</v>
      </c>
      <c r="Z42" s="20">
        <f t="shared" si="27"/>
        <v>0</v>
      </c>
      <c r="AB42" s="20">
        <f t="shared" si="28"/>
        <v>0</v>
      </c>
      <c r="AC42" s="20">
        <f t="shared" si="29"/>
        <v>0</v>
      </c>
      <c r="AD42" s="20">
        <f t="shared" si="30"/>
        <v>0</v>
      </c>
      <c r="AE42" s="20">
        <f t="shared" si="31"/>
        <v>0</v>
      </c>
      <c r="AF42" s="20">
        <f t="shared" si="32"/>
        <v>0</v>
      </c>
      <c r="AG42" s="20">
        <f t="shared" si="33"/>
        <v>0</v>
      </c>
      <c r="AH42" s="20">
        <f t="shared" si="34"/>
        <v>0</v>
      </c>
      <c r="AI42" s="12" t="s">
        <v>202</v>
      </c>
      <c r="AJ42" s="20">
        <f t="shared" si="35"/>
        <v>0</v>
      </c>
      <c r="AK42" s="20">
        <f t="shared" si="36"/>
        <v>0</v>
      </c>
      <c r="AL42" s="20">
        <f t="shared" si="37"/>
        <v>0</v>
      </c>
      <c r="AN42" s="20">
        <v>21</v>
      </c>
      <c r="AO42" s="20">
        <f>I42*0</f>
        <v>0</v>
      </c>
      <c r="AP42" s="20">
        <f>I42*(1-0)</f>
        <v>0</v>
      </c>
      <c r="AQ42" s="19" t="s">
        <v>294</v>
      </c>
      <c r="AV42" s="20">
        <f t="shared" si="38"/>
        <v>0</v>
      </c>
      <c r="AW42" s="20">
        <f t="shared" si="39"/>
        <v>0</v>
      </c>
      <c r="AX42" s="20">
        <f t="shared" si="40"/>
        <v>0</v>
      </c>
      <c r="AY42" s="19" t="s">
        <v>142</v>
      </c>
      <c r="AZ42" s="19" t="s">
        <v>39</v>
      </c>
      <c r="BA42" s="12" t="s">
        <v>220</v>
      </c>
      <c r="BC42" s="20">
        <f t="shared" si="41"/>
        <v>0</v>
      </c>
      <c r="BD42" s="20">
        <f t="shared" si="42"/>
        <v>0</v>
      </c>
      <c r="BE42" s="20">
        <v>0</v>
      </c>
      <c r="BF42" s="20">
        <f>42</f>
        <v>42</v>
      </c>
      <c r="BH42" s="20">
        <f t="shared" si="43"/>
        <v>0</v>
      </c>
      <c r="BI42" s="20">
        <f t="shared" si="44"/>
        <v>0</v>
      </c>
      <c r="BJ42" s="20">
        <f t="shared" si="45"/>
        <v>0</v>
      </c>
      <c r="BK42" s="20"/>
      <c r="BL42" s="20">
        <v>18</v>
      </c>
    </row>
    <row r="43" spans="1:64" ht="15" customHeight="1">
      <c r="A43" s="38" t="s">
        <v>314</v>
      </c>
      <c r="B43" s="1" t="s">
        <v>149</v>
      </c>
      <c r="C43" s="57" t="s">
        <v>95</v>
      </c>
      <c r="D43" s="57"/>
      <c r="E43" s="57"/>
      <c r="F43" s="57"/>
      <c r="G43" s="1" t="s">
        <v>284</v>
      </c>
      <c r="H43" s="20">
        <v>83.996</v>
      </c>
      <c r="I43" s="20">
        <v>0</v>
      </c>
      <c r="J43" s="20">
        <f t="shared" si="24"/>
        <v>0</v>
      </c>
      <c r="K43" s="20">
        <f t="shared" si="25"/>
        <v>0</v>
      </c>
      <c r="L43" s="20">
        <f t="shared" si="26"/>
        <v>0</v>
      </c>
      <c r="M43" s="54" t="s">
        <v>241</v>
      </c>
      <c r="Z43" s="20">
        <f t="shared" si="27"/>
        <v>0</v>
      </c>
      <c r="AB43" s="20">
        <f t="shared" si="28"/>
        <v>0</v>
      </c>
      <c r="AC43" s="20">
        <f t="shared" si="29"/>
        <v>0</v>
      </c>
      <c r="AD43" s="20">
        <f t="shared" si="30"/>
        <v>0</v>
      </c>
      <c r="AE43" s="20">
        <f t="shared" si="31"/>
        <v>0</v>
      </c>
      <c r="AF43" s="20">
        <f t="shared" si="32"/>
        <v>0</v>
      </c>
      <c r="AG43" s="20">
        <f t="shared" si="33"/>
        <v>0</v>
      </c>
      <c r="AH43" s="20">
        <f t="shared" si="34"/>
        <v>0</v>
      </c>
      <c r="AI43" s="12" t="s">
        <v>202</v>
      </c>
      <c r="AJ43" s="20">
        <f t="shared" si="35"/>
        <v>0</v>
      </c>
      <c r="AK43" s="20">
        <f t="shared" si="36"/>
        <v>0</v>
      </c>
      <c r="AL43" s="20">
        <f t="shared" si="37"/>
        <v>0</v>
      </c>
      <c r="AN43" s="20">
        <v>21</v>
      </c>
      <c r="AO43" s="20">
        <f>I43*1</f>
        <v>0</v>
      </c>
      <c r="AP43" s="20">
        <f>I43*(1-1)</f>
        <v>0</v>
      </c>
      <c r="AQ43" s="19" t="s">
        <v>294</v>
      </c>
      <c r="AV43" s="20">
        <f t="shared" si="38"/>
        <v>0</v>
      </c>
      <c r="AW43" s="20">
        <f t="shared" si="39"/>
        <v>0</v>
      </c>
      <c r="AX43" s="20">
        <f t="shared" si="40"/>
        <v>0</v>
      </c>
      <c r="AY43" s="19" t="s">
        <v>142</v>
      </c>
      <c r="AZ43" s="19" t="s">
        <v>39</v>
      </c>
      <c r="BA43" s="12" t="s">
        <v>220</v>
      </c>
      <c r="BC43" s="20">
        <f t="shared" si="41"/>
        <v>0</v>
      </c>
      <c r="BD43" s="20">
        <f t="shared" si="42"/>
        <v>0</v>
      </c>
      <c r="BE43" s="20">
        <v>0</v>
      </c>
      <c r="BF43" s="20">
        <f>43</f>
        <v>43</v>
      </c>
      <c r="BH43" s="20">
        <f t="shared" si="43"/>
        <v>0</v>
      </c>
      <c r="BI43" s="20">
        <f t="shared" si="44"/>
        <v>0</v>
      </c>
      <c r="BJ43" s="20">
        <f t="shared" si="45"/>
        <v>0</v>
      </c>
      <c r="BK43" s="20"/>
      <c r="BL43" s="20">
        <v>18</v>
      </c>
    </row>
    <row r="44" spans="1:64" ht="15" customHeight="1">
      <c r="A44" s="38" t="s">
        <v>22</v>
      </c>
      <c r="B44" s="1" t="s">
        <v>76</v>
      </c>
      <c r="C44" s="57" t="s">
        <v>259</v>
      </c>
      <c r="D44" s="57"/>
      <c r="E44" s="57"/>
      <c r="F44" s="57"/>
      <c r="G44" s="1" t="s">
        <v>284</v>
      </c>
      <c r="H44" s="20">
        <v>76.36</v>
      </c>
      <c r="I44" s="20">
        <v>0</v>
      </c>
      <c r="J44" s="20">
        <f t="shared" si="24"/>
        <v>0</v>
      </c>
      <c r="K44" s="20">
        <f t="shared" si="25"/>
        <v>0</v>
      </c>
      <c r="L44" s="20">
        <f t="shared" si="26"/>
        <v>0</v>
      </c>
      <c r="M44" s="54" t="s">
        <v>241</v>
      </c>
      <c r="Z44" s="20">
        <f t="shared" si="27"/>
        <v>0</v>
      </c>
      <c r="AB44" s="20">
        <f t="shared" si="28"/>
        <v>0</v>
      </c>
      <c r="AC44" s="20">
        <f t="shared" si="29"/>
        <v>0</v>
      </c>
      <c r="AD44" s="20">
        <f t="shared" si="30"/>
        <v>0</v>
      </c>
      <c r="AE44" s="20">
        <f t="shared" si="31"/>
        <v>0</v>
      </c>
      <c r="AF44" s="20">
        <f t="shared" si="32"/>
        <v>0</v>
      </c>
      <c r="AG44" s="20">
        <f t="shared" si="33"/>
        <v>0</v>
      </c>
      <c r="AH44" s="20">
        <f t="shared" si="34"/>
        <v>0</v>
      </c>
      <c r="AI44" s="12" t="s">
        <v>202</v>
      </c>
      <c r="AJ44" s="20">
        <f t="shared" si="35"/>
        <v>0</v>
      </c>
      <c r="AK44" s="20">
        <f t="shared" si="36"/>
        <v>0</v>
      </c>
      <c r="AL44" s="20">
        <f t="shared" si="37"/>
        <v>0</v>
      </c>
      <c r="AN44" s="20">
        <v>21</v>
      </c>
      <c r="AO44" s="20">
        <f>I44*0</f>
        <v>0</v>
      </c>
      <c r="AP44" s="20">
        <f>I44*(1-0)</f>
        <v>0</v>
      </c>
      <c r="AQ44" s="19" t="s">
        <v>294</v>
      </c>
      <c r="AV44" s="20">
        <f t="shared" si="38"/>
        <v>0</v>
      </c>
      <c r="AW44" s="20">
        <f t="shared" si="39"/>
        <v>0</v>
      </c>
      <c r="AX44" s="20">
        <f t="shared" si="40"/>
        <v>0</v>
      </c>
      <c r="AY44" s="19" t="s">
        <v>142</v>
      </c>
      <c r="AZ44" s="19" t="s">
        <v>39</v>
      </c>
      <c r="BA44" s="12" t="s">
        <v>220</v>
      </c>
      <c r="BC44" s="20">
        <f t="shared" si="41"/>
        <v>0</v>
      </c>
      <c r="BD44" s="20">
        <f t="shared" si="42"/>
        <v>0</v>
      </c>
      <c r="BE44" s="20">
        <v>0</v>
      </c>
      <c r="BF44" s="20">
        <f>44</f>
        <v>44</v>
      </c>
      <c r="BH44" s="20">
        <f t="shared" si="43"/>
        <v>0</v>
      </c>
      <c r="BI44" s="20">
        <f t="shared" si="44"/>
        <v>0</v>
      </c>
      <c r="BJ44" s="20">
        <f t="shared" si="45"/>
        <v>0</v>
      </c>
      <c r="BK44" s="20"/>
      <c r="BL44" s="20">
        <v>18</v>
      </c>
    </row>
    <row r="45" spans="1:64" ht="15" customHeight="1">
      <c r="A45" s="38" t="s">
        <v>184</v>
      </c>
      <c r="B45" s="1" t="s">
        <v>172</v>
      </c>
      <c r="C45" s="57" t="s">
        <v>189</v>
      </c>
      <c r="D45" s="57"/>
      <c r="E45" s="57"/>
      <c r="F45" s="57"/>
      <c r="G45" s="1" t="s">
        <v>278</v>
      </c>
      <c r="H45" s="20">
        <v>7.636</v>
      </c>
      <c r="I45" s="20">
        <v>0</v>
      </c>
      <c r="J45" s="20">
        <f t="shared" si="24"/>
        <v>0</v>
      </c>
      <c r="K45" s="20">
        <f t="shared" si="25"/>
        <v>0</v>
      </c>
      <c r="L45" s="20">
        <f t="shared" si="26"/>
        <v>0</v>
      </c>
      <c r="M45" s="54" t="s">
        <v>241</v>
      </c>
      <c r="Z45" s="20">
        <f t="shared" si="27"/>
        <v>0</v>
      </c>
      <c r="AB45" s="20">
        <f t="shared" si="28"/>
        <v>0</v>
      </c>
      <c r="AC45" s="20">
        <f t="shared" si="29"/>
        <v>0</v>
      </c>
      <c r="AD45" s="20">
        <f t="shared" si="30"/>
        <v>0</v>
      </c>
      <c r="AE45" s="20">
        <f t="shared" si="31"/>
        <v>0</v>
      </c>
      <c r="AF45" s="20">
        <f t="shared" si="32"/>
        <v>0</v>
      </c>
      <c r="AG45" s="20">
        <f t="shared" si="33"/>
        <v>0</v>
      </c>
      <c r="AH45" s="20">
        <f t="shared" si="34"/>
        <v>0</v>
      </c>
      <c r="AI45" s="12" t="s">
        <v>202</v>
      </c>
      <c r="AJ45" s="20">
        <f t="shared" si="35"/>
        <v>0</v>
      </c>
      <c r="AK45" s="20">
        <f t="shared" si="36"/>
        <v>0</v>
      </c>
      <c r="AL45" s="20">
        <f t="shared" si="37"/>
        <v>0</v>
      </c>
      <c r="AN45" s="20">
        <v>21</v>
      </c>
      <c r="AO45" s="20">
        <f>I45*1</f>
        <v>0</v>
      </c>
      <c r="AP45" s="20">
        <f>I45*(1-1)</f>
        <v>0</v>
      </c>
      <c r="AQ45" s="19" t="s">
        <v>294</v>
      </c>
      <c r="AV45" s="20">
        <f t="shared" si="38"/>
        <v>0</v>
      </c>
      <c r="AW45" s="20">
        <f t="shared" si="39"/>
        <v>0</v>
      </c>
      <c r="AX45" s="20">
        <f t="shared" si="40"/>
        <v>0</v>
      </c>
      <c r="AY45" s="19" t="s">
        <v>142</v>
      </c>
      <c r="AZ45" s="19" t="s">
        <v>39</v>
      </c>
      <c r="BA45" s="12" t="s">
        <v>220</v>
      </c>
      <c r="BC45" s="20">
        <f t="shared" si="41"/>
        <v>0</v>
      </c>
      <c r="BD45" s="20">
        <f t="shared" si="42"/>
        <v>0</v>
      </c>
      <c r="BE45" s="20">
        <v>0</v>
      </c>
      <c r="BF45" s="20">
        <f>45</f>
        <v>45</v>
      </c>
      <c r="BH45" s="20">
        <f t="shared" si="43"/>
        <v>0</v>
      </c>
      <c r="BI45" s="20">
        <f t="shared" si="44"/>
        <v>0</v>
      </c>
      <c r="BJ45" s="20">
        <f t="shared" si="45"/>
        <v>0</v>
      </c>
      <c r="BK45" s="20"/>
      <c r="BL45" s="20">
        <v>18</v>
      </c>
    </row>
    <row r="46" spans="1:64" ht="15" customHeight="1">
      <c r="A46" s="38" t="s">
        <v>164</v>
      </c>
      <c r="B46" s="1" t="s">
        <v>211</v>
      </c>
      <c r="C46" s="57" t="s">
        <v>26</v>
      </c>
      <c r="D46" s="57"/>
      <c r="E46" s="57"/>
      <c r="F46" s="57"/>
      <c r="G46" s="1" t="s">
        <v>278</v>
      </c>
      <c r="H46" s="20">
        <v>2.8666</v>
      </c>
      <c r="I46" s="20">
        <v>0</v>
      </c>
      <c r="J46" s="20">
        <f t="shared" si="24"/>
        <v>0</v>
      </c>
      <c r="K46" s="20">
        <f t="shared" si="25"/>
        <v>0</v>
      </c>
      <c r="L46" s="20">
        <f t="shared" si="26"/>
        <v>0</v>
      </c>
      <c r="M46" s="54" t="s">
        <v>241</v>
      </c>
      <c r="Z46" s="20">
        <f t="shared" si="27"/>
        <v>0</v>
      </c>
      <c r="AB46" s="20">
        <f t="shared" si="28"/>
        <v>0</v>
      </c>
      <c r="AC46" s="20">
        <f t="shared" si="29"/>
        <v>0</v>
      </c>
      <c r="AD46" s="20">
        <f t="shared" si="30"/>
        <v>0</v>
      </c>
      <c r="AE46" s="20">
        <f t="shared" si="31"/>
        <v>0</v>
      </c>
      <c r="AF46" s="20">
        <f t="shared" si="32"/>
        <v>0</v>
      </c>
      <c r="AG46" s="20">
        <f t="shared" si="33"/>
        <v>0</v>
      </c>
      <c r="AH46" s="20">
        <f t="shared" si="34"/>
        <v>0</v>
      </c>
      <c r="AI46" s="12" t="s">
        <v>202</v>
      </c>
      <c r="AJ46" s="20">
        <f t="shared" si="35"/>
        <v>0</v>
      </c>
      <c r="AK46" s="20">
        <f t="shared" si="36"/>
        <v>0</v>
      </c>
      <c r="AL46" s="20">
        <f t="shared" si="37"/>
        <v>0</v>
      </c>
      <c r="AN46" s="20">
        <v>21</v>
      </c>
      <c r="AO46" s="20">
        <f>I46*0</f>
        <v>0</v>
      </c>
      <c r="AP46" s="20">
        <f>I46*(1-0)</f>
        <v>0</v>
      </c>
      <c r="AQ46" s="19" t="s">
        <v>294</v>
      </c>
      <c r="AV46" s="20">
        <f t="shared" si="38"/>
        <v>0</v>
      </c>
      <c r="AW46" s="20">
        <f t="shared" si="39"/>
        <v>0</v>
      </c>
      <c r="AX46" s="20">
        <f t="shared" si="40"/>
        <v>0</v>
      </c>
      <c r="AY46" s="19" t="s">
        <v>142</v>
      </c>
      <c r="AZ46" s="19" t="s">
        <v>39</v>
      </c>
      <c r="BA46" s="12" t="s">
        <v>220</v>
      </c>
      <c r="BC46" s="20">
        <f t="shared" si="41"/>
        <v>0</v>
      </c>
      <c r="BD46" s="20">
        <f t="shared" si="42"/>
        <v>0</v>
      </c>
      <c r="BE46" s="20">
        <v>0</v>
      </c>
      <c r="BF46" s="20">
        <f>46</f>
        <v>46</v>
      </c>
      <c r="BH46" s="20">
        <f t="shared" si="43"/>
        <v>0</v>
      </c>
      <c r="BI46" s="20">
        <f t="shared" si="44"/>
        <v>0</v>
      </c>
      <c r="BJ46" s="20">
        <f t="shared" si="45"/>
        <v>0</v>
      </c>
      <c r="BK46" s="20"/>
      <c r="BL46" s="20">
        <v>18</v>
      </c>
    </row>
    <row r="47" spans="1:64" ht="15" customHeight="1">
      <c r="A47" s="38" t="s">
        <v>242</v>
      </c>
      <c r="B47" s="1" t="s">
        <v>256</v>
      </c>
      <c r="C47" s="57" t="s">
        <v>179</v>
      </c>
      <c r="D47" s="57"/>
      <c r="E47" s="57"/>
      <c r="F47" s="57"/>
      <c r="G47" s="1" t="s">
        <v>278</v>
      </c>
      <c r="H47" s="20">
        <v>2.8666</v>
      </c>
      <c r="I47" s="20">
        <v>0</v>
      </c>
      <c r="J47" s="20">
        <f t="shared" si="24"/>
        <v>0</v>
      </c>
      <c r="K47" s="20">
        <f t="shared" si="25"/>
        <v>0</v>
      </c>
      <c r="L47" s="20">
        <f t="shared" si="26"/>
        <v>0</v>
      </c>
      <c r="M47" s="54" t="s">
        <v>241</v>
      </c>
      <c r="Z47" s="20">
        <f t="shared" si="27"/>
        <v>0</v>
      </c>
      <c r="AB47" s="20">
        <f t="shared" si="28"/>
        <v>0</v>
      </c>
      <c r="AC47" s="20">
        <f t="shared" si="29"/>
        <v>0</v>
      </c>
      <c r="AD47" s="20">
        <f t="shared" si="30"/>
        <v>0</v>
      </c>
      <c r="AE47" s="20">
        <f t="shared" si="31"/>
        <v>0</v>
      </c>
      <c r="AF47" s="20">
        <f t="shared" si="32"/>
        <v>0</v>
      </c>
      <c r="AG47" s="20">
        <f t="shared" si="33"/>
        <v>0</v>
      </c>
      <c r="AH47" s="20">
        <f t="shared" si="34"/>
        <v>0</v>
      </c>
      <c r="AI47" s="12" t="s">
        <v>202</v>
      </c>
      <c r="AJ47" s="20">
        <f t="shared" si="35"/>
        <v>0</v>
      </c>
      <c r="AK47" s="20">
        <f t="shared" si="36"/>
        <v>0</v>
      </c>
      <c r="AL47" s="20">
        <f t="shared" si="37"/>
        <v>0</v>
      </c>
      <c r="AN47" s="20">
        <v>21</v>
      </c>
      <c r="AO47" s="20">
        <f>I47*0.313269764304258</f>
        <v>0</v>
      </c>
      <c r="AP47" s="20">
        <f>I47*(1-0.313269764304258)</f>
        <v>0</v>
      </c>
      <c r="AQ47" s="19" t="s">
        <v>294</v>
      </c>
      <c r="AV47" s="20">
        <f t="shared" si="38"/>
        <v>0</v>
      </c>
      <c r="AW47" s="20">
        <f t="shared" si="39"/>
        <v>0</v>
      </c>
      <c r="AX47" s="20">
        <f t="shared" si="40"/>
        <v>0</v>
      </c>
      <c r="AY47" s="19" t="s">
        <v>142</v>
      </c>
      <c r="AZ47" s="19" t="s">
        <v>39</v>
      </c>
      <c r="BA47" s="12" t="s">
        <v>220</v>
      </c>
      <c r="BC47" s="20">
        <f t="shared" si="41"/>
        <v>0</v>
      </c>
      <c r="BD47" s="20">
        <f t="shared" si="42"/>
        <v>0</v>
      </c>
      <c r="BE47" s="20">
        <v>0</v>
      </c>
      <c r="BF47" s="20">
        <f>47</f>
        <v>47</v>
      </c>
      <c r="BH47" s="20">
        <f t="shared" si="43"/>
        <v>0</v>
      </c>
      <c r="BI47" s="20">
        <f t="shared" si="44"/>
        <v>0</v>
      </c>
      <c r="BJ47" s="20">
        <f t="shared" si="45"/>
        <v>0</v>
      </c>
      <c r="BK47" s="20"/>
      <c r="BL47" s="20">
        <v>18</v>
      </c>
    </row>
    <row r="48" spans="1:64" ht="15" customHeight="1">
      <c r="A48" s="38" t="s">
        <v>68</v>
      </c>
      <c r="B48" s="1" t="s">
        <v>6</v>
      </c>
      <c r="C48" s="57" t="s">
        <v>307</v>
      </c>
      <c r="D48" s="57"/>
      <c r="E48" s="57"/>
      <c r="F48" s="57"/>
      <c r="G48" s="1" t="s">
        <v>278</v>
      </c>
      <c r="H48" s="20">
        <v>2.8666</v>
      </c>
      <c r="I48" s="20">
        <v>0</v>
      </c>
      <c r="J48" s="20">
        <f t="shared" si="24"/>
        <v>0</v>
      </c>
      <c r="K48" s="20">
        <f t="shared" si="25"/>
        <v>0</v>
      </c>
      <c r="L48" s="20">
        <f t="shared" si="26"/>
        <v>0</v>
      </c>
      <c r="M48" s="54" t="s">
        <v>241</v>
      </c>
      <c r="Z48" s="20">
        <f t="shared" si="27"/>
        <v>0</v>
      </c>
      <c r="AB48" s="20">
        <f t="shared" si="28"/>
        <v>0</v>
      </c>
      <c r="AC48" s="20">
        <f t="shared" si="29"/>
        <v>0</v>
      </c>
      <c r="AD48" s="20">
        <f t="shared" si="30"/>
        <v>0</v>
      </c>
      <c r="AE48" s="20">
        <f t="shared" si="31"/>
        <v>0</v>
      </c>
      <c r="AF48" s="20">
        <f t="shared" si="32"/>
        <v>0</v>
      </c>
      <c r="AG48" s="20">
        <f t="shared" si="33"/>
        <v>0</v>
      </c>
      <c r="AH48" s="20">
        <f t="shared" si="34"/>
        <v>0</v>
      </c>
      <c r="AI48" s="12" t="s">
        <v>202</v>
      </c>
      <c r="AJ48" s="20">
        <f t="shared" si="35"/>
        <v>0</v>
      </c>
      <c r="AK48" s="20">
        <f t="shared" si="36"/>
        <v>0</v>
      </c>
      <c r="AL48" s="20">
        <f t="shared" si="37"/>
        <v>0</v>
      </c>
      <c r="AN48" s="20">
        <v>21</v>
      </c>
      <c r="AO48" s="20">
        <f>I48*1</f>
        <v>0</v>
      </c>
      <c r="AP48" s="20">
        <f>I48*(1-1)</f>
        <v>0</v>
      </c>
      <c r="AQ48" s="19" t="s">
        <v>294</v>
      </c>
      <c r="AV48" s="20">
        <f t="shared" si="38"/>
        <v>0</v>
      </c>
      <c r="AW48" s="20">
        <f t="shared" si="39"/>
        <v>0</v>
      </c>
      <c r="AX48" s="20">
        <f t="shared" si="40"/>
        <v>0</v>
      </c>
      <c r="AY48" s="19" t="s">
        <v>142</v>
      </c>
      <c r="AZ48" s="19" t="s">
        <v>39</v>
      </c>
      <c r="BA48" s="12" t="s">
        <v>220</v>
      </c>
      <c r="BC48" s="20">
        <f t="shared" si="41"/>
        <v>0</v>
      </c>
      <c r="BD48" s="20">
        <f t="shared" si="42"/>
        <v>0</v>
      </c>
      <c r="BE48" s="20">
        <v>0</v>
      </c>
      <c r="BF48" s="20">
        <f>48</f>
        <v>48</v>
      </c>
      <c r="BH48" s="20">
        <f t="shared" si="43"/>
        <v>0</v>
      </c>
      <c r="BI48" s="20">
        <f t="shared" si="44"/>
        <v>0</v>
      </c>
      <c r="BJ48" s="20">
        <f t="shared" si="45"/>
        <v>0</v>
      </c>
      <c r="BK48" s="20"/>
      <c r="BL48" s="20">
        <v>18</v>
      </c>
    </row>
    <row r="49" spans="1:64" ht="15" customHeight="1">
      <c r="A49" s="38" t="s">
        <v>317</v>
      </c>
      <c r="B49" s="1" t="s">
        <v>31</v>
      </c>
      <c r="C49" s="57" t="s">
        <v>269</v>
      </c>
      <c r="D49" s="57"/>
      <c r="E49" s="57"/>
      <c r="F49" s="57"/>
      <c r="G49" s="1" t="s">
        <v>78</v>
      </c>
      <c r="H49" s="20">
        <v>16</v>
      </c>
      <c r="I49" s="20">
        <v>0</v>
      </c>
      <c r="J49" s="20">
        <f t="shared" si="24"/>
        <v>0</v>
      </c>
      <c r="K49" s="20">
        <f t="shared" si="25"/>
        <v>0</v>
      </c>
      <c r="L49" s="20">
        <f t="shared" si="26"/>
        <v>0</v>
      </c>
      <c r="M49" s="54" t="s">
        <v>241</v>
      </c>
      <c r="Z49" s="20">
        <f t="shared" si="27"/>
        <v>0</v>
      </c>
      <c r="AB49" s="20">
        <f t="shared" si="28"/>
        <v>0</v>
      </c>
      <c r="AC49" s="20">
        <f t="shared" si="29"/>
        <v>0</v>
      </c>
      <c r="AD49" s="20">
        <f t="shared" si="30"/>
        <v>0</v>
      </c>
      <c r="AE49" s="20">
        <f t="shared" si="31"/>
        <v>0</v>
      </c>
      <c r="AF49" s="20">
        <f t="shared" si="32"/>
        <v>0</v>
      </c>
      <c r="AG49" s="20">
        <f t="shared" si="33"/>
        <v>0</v>
      </c>
      <c r="AH49" s="20">
        <f t="shared" si="34"/>
        <v>0</v>
      </c>
      <c r="AI49" s="12" t="s">
        <v>202</v>
      </c>
      <c r="AJ49" s="20">
        <f t="shared" si="35"/>
        <v>0</v>
      </c>
      <c r="AK49" s="20">
        <f t="shared" si="36"/>
        <v>0</v>
      </c>
      <c r="AL49" s="20">
        <f t="shared" si="37"/>
        <v>0</v>
      </c>
      <c r="AN49" s="20">
        <v>21</v>
      </c>
      <c r="AO49" s="20">
        <f>I49*0</f>
        <v>0</v>
      </c>
      <c r="AP49" s="20">
        <f>I49*(1-0)</f>
        <v>0</v>
      </c>
      <c r="AQ49" s="19" t="s">
        <v>294</v>
      </c>
      <c r="AV49" s="20">
        <f t="shared" si="38"/>
        <v>0</v>
      </c>
      <c r="AW49" s="20">
        <f t="shared" si="39"/>
        <v>0</v>
      </c>
      <c r="AX49" s="20">
        <f t="shared" si="40"/>
        <v>0</v>
      </c>
      <c r="AY49" s="19" t="s">
        <v>142</v>
      </c>
      <c r="AZ49" s="19" t="s">
        <v>39</v>
      </c>
      <c r="BA49" s="12" t="s">
        <v>220</v>
      </c>
      <c r="BC49" s="20">
        <f t="shared" si="41"/>
        <v>0</v>
      </c>
      <c r="BD49" s="20">
        <f t="shared" si="42"/>
        <v>0</v>
      </c>
      <c r="BE49" s="20">
        <v>0</v>
      </c>
      <c r="BF49" s="20">
        <f>49</f>
        <v>49</v>
      </c>
      <c r="BH49" s="20">
        <f t="shared" si="43"/>
        <v>0</v>
      </c>
      <c r="BI49" s="20">
        <f t="shared" si="44"/>
        <v>0</v>
      </c>
      <c r="BJ49" s="20">
        <f t="shared" si="45"/>
        <v>0</v>
      </c>
      <c r="BK49" s="20"/>
      <c r="BL49" s="20">
        <v>18</v>
      </c>
    </row>
    <row r="50" spans="1:64" ht="15" customHeight="1">
      <c r="A50" s="38" t="s">
        <v>253</v>
      </c>
      <c r="B50" s="1" t="s">
        <v>206</v>
      </c>
      <c r="C50" s="57" t="s">
        <v>56</v>
      </c>
      <c r="D50" s="57"/>
      <c r="E50" s="57"/>
      <c r="F50" s="57"/>
      <c r="G50" s="1" t="s">
        <v>78</v>
      </c>
      <c r="H50" s="20">
        <v>16</v>
      </c>
      <c r="I50" s="20">
        <v>0</v>
      </c>
      <c r="J50" s="20">
        <f t="shared" si="24"/>
        <v>0</v>
      </c>
      <c r="K50" s="20">
        <f t="shared" si="25"/>
        <v>0</v>
      </c>
      <c r="L50" s="20">
        <f t="shared" si="26"/>
        <v>0</v>
      </c>
      <c r="M50" s="54" t="s">
        <v>241</v>
      </c>
      <c r="Z50" s="20">
        <f t="shared" si="27"/>
        <v>0</v>
      </c>
      <c r="AB50" s="20">
        <f t="shared" si="28"/>
        <v>0</v>
      </c>
      <c r="AC50" s="20">
        <f t="shared" si="29"/>
        <v>0</v>
      </c>
      <c r="AD50" s="20">
        <f t="shared" si="30"/>
        <v>0</v>
      </c>
      <c r="AE50" s="20">
        <f t="shared" si="31"/>
        <v>0</v>
      </c>
      <c r="AF50" s="20">
        <f t="shared" si="32"/>
        <v>0</v>
      </c>
      <c r="AG50" s="20">
        <f t="shared" si="33"/>
        <v>0</v>
      </c>
      <c r="AH50" s="20">
        <f t="shared" si="34"/>
        <v>0</v>
      </c>
      <c r="AI50" s="12" t="s">
        <v>202</v>
      </c>
      <c r="AJ50" s="20">
        <f t="shared" si="35"/>
        <v>0</v>
      </c>
      <c r="AK50" s="20">
        <f t="shared" si="36"/>
        <v>0</v>
      </c>
      <c r="AL50" s="20">
        <f t="shared" si="37"/>
        <v>0</v>
      </c>
      <c r="AN50" s="20">
        <v>21</v>
      </c>
      <c r="AO50" s="20">
        <f>I50*0.00524077189537061</f>
        <v>0</v>
      </c>
      <c r="AP50" s="20">
        <f>I50*(1-0.00524077189537061)</f>
        <v>0</v>
      </c>
      <c r="AQ50" s="19" t="s">
        <v>294</v>
      </c>
      <c r="AV50" s="20">
        <f t="shared" si="38"/>
        <v>0</v>
      </c>
      <c r="AW50" s="20">
        <f t="shared" si="39"/>
        <v>0</v>
      </c>
      <c r="AX50" s="20">
        <f t="shared" si="40"/>
        <v>0</v>
      </c>
      <c r="AY50" s="19" t="s">
        <v>142</v>
      </c>
      <c r="AZ50" s="19" t="s">
        <v>39</v>
      </c>
      <c r="BA50" s="12" t="s">
        <v>220</v>
      </c>
      <c r="BC50" s="20">
        <f t="shared" si="41"/>
        <v>0</v>
      </c>
      <c r="BD50" s="20">
        <f t="shared" si="42"/>
        <v>0</v>
      </c>
      <c r="BE50" s="20">
        <v>0</v>
      </c>
      <c r="BF50" s="20">
        <f>50</f>
        <v>50</v>
      </c>
      <c r="BH50" s="20">
        <f t="shared" si="43"/>
        <v>0</v>
      </c>
      <c r="BI50" s="20">
        <f t="shared" si="44"/>
        <v>0</v>
      </c>
      <c r="BJ50" s="20">
        <f t="shared" si="45"/>
        <v>0</v>
      </c>
      <c r="BK50" s="20"/>
      <c r="BL50" s="20">
        <v>18</v>
      </c>
    </row>
    <row r="51" spans="1:64" ht="15" customHeight="1">
      <c r="A51" s="38" t="s">
        <v>160</v>
      </c>
      <c r="B51" s="1" t="s">
        <v>100</v>
      </c>
      <c r="C51" s="57" t="s">
        <v>268</v>
      </c>
      <c r="D51" s="57"/>
      <c r="E51" s="57"/>
      <c r="F51" s="57"/>
      <c r="G51" s="1" t="s">
        <v>78</v>
      </c>
      <c r="H51" s="20">
        <v>15</v>
      </c>
      <c r="I51" s="20">
        <v>0</v>
      </c>
      <c r="J51" s="20">
        <f t="shared" si="24"/>
        <v>0</v>
      </c>
      <c r="K51" s="20">
        <f t="shared" si="25"/>
        <v>0</v>
      </c>
      <c r="L51" s="20">
        <f t="shared" si="26"/>
        <v>0</v>
      </c>
      <c r="M51" s="54" t="s">
        <v>202</v>
      </c>
      <c r="Z51" s="20">
        <f t="shared" si="27"/>
        <v>0</v>
      </c>
      <c r="AB51" s="20">
        <f t="shared" si="28"/>
        <v>0</v>
      </c>
      <c r="AC51" s="20">
        <f t="shared" si="29"/>
        <v>0</v>
      </c>
      <c r="AD51" s="20">
        <f t="shared" si="30"/>
        <v>0</v>
      </c>
      <c r="AE51" s="20">
        <f t="shared" si="31"/>
        <v>0</v>
      </c>
      <c r="AF51" s="20">
        <f t="shared" si="32"/>
        <v>0</v>
      </c>
      <c r="AG51" s="20">
        <f t="shared" si="33"/>
        <v>0</v>
      </c>
      <c r="AH51" s="20">
        <f t="shared" si="34"/>
        <v>0</v>
      </c>
      <c r="AI51" s="12" t="s">
        <v>202</v>
      </c>
      <c r="AJ51" s="20">
        <f t="shared" si="35"/>
        <v>0</v>
      </c>
      <c r="AK51" s="20">
        <f t="shared" si="36"/>
        <v>0</v>
      </c>
      <c r="AL51" s="20">
        <f t="shared" si="37"/>
        <v>0</v>
      </c>
      <c r="AN51" s="20">
        <v>21</v>
      </c>
      <c r="AO51" s="20">
        <f>I51*1</f>
        <v>0</v>
      </c>
      <c r="AP51" s="20">
        <f>I51*(1-1)</f>
        <v>0</v>
      </c>
      <c r="AQ51" s="19" t="s">
        <v>294</v>
      </c>
      <c r="AV51" s="20">
        <f t="shared" si="38"/>
        <v>0</v>
      </c>
      <c r="AW51" s="20">
        <f t="shared" si="39"/>
        <v>0</v>
      </c>
      <c r="AX51" s="20">
        <f t="shared" si="40"/>
        <v>0</v>
      </c>
      <c r="AY51" s="19" t="s">
        <v>142</v>
      </c>
      <c r="AZ51" s="19" t="s">
        <v>39</v>
      </c>
      <c r="BA51" s="12" t="s">
        <v>220</v>
      </c>
      <c r="BC51" s="20">
        <f t="shared" si="41"/>
        <v>0</v>
      </c>
      <c r="BD51" s="20">
        <f t="shared" si="42"/>
        <v>0</v>
      </c>
      <c r="BE51" s="20">
        <v>0</v>
      </c>
      <c r="BF51" s="20">
        <f>51</f>
        <v>51</v>
      </c>
      <c r="BH51" s="20">
        <f t="shared" si="43"/>
        <v>0</v>
      </c>
      <c r="BI51" s="20">
        <f t="shared" si="44"/>
        <v>0</v>
      </c>
      <c r="BJ51" s="20">
        <f t="shared" si="45"/>
        <v>0</v>
      </c>
      <c r="BK51" s="20"/>
      <c r="BL51" s="20">
        <v>18</v>
      </c>
    </row>
    <row r="52" spans="1:64" ht="15" customHeight="1">
      <c r="A52" s="38" t="s">
        <v>283</v>
      </c>
      <c r="B52" s="1" t="s">
        <v>100</v>
      </c>
      <c r="C52" s="57" t="s">
        <v>195</v>
      </c>
      <c r="D52" s="57"/>
      <c r="E52" s="57"/>
      <c r="F52" s="57"/>
      <c r="G52" s="1" t="s">
        <v>78</v>
      </c>
      <c r="H52" s="20">
        <v>1</v>
      </c>
      <c r="I52" s="20">
        <v>0</v>
      </c>
      <c r="J52" s="20">
        <f t="shared" si="24"/>
        <v>0</v>
      </c>
      <c r="K52" s="20">
        <f t="shared" si="25"/>
        <v>0</v>
      </c>
      <c r="L52" s="20">
        <f t="shared" si="26"/>
        <v>0</v>
      </c>
      <c r="M52" s="54" t="s">
        <v>202</v>
      </c>
      <c r="Z52" s="20">
        <f t="shared" si="27"/>
        <v>0</v>
      </c>
      <c r="AB52" s="20">
        <f t="shared" si="28"/>
        <v>0</v>
      </c>
      <c r="AC52" s="20">
        <f t="shared" si="29"/>
        <v>0</v>
      </c>
      <c r="AD52" s="20">
        <f t="shared" si="30"/>
        <v>0</v>
      </c>
      <c r="AE52" s="20">
        <f t="shared" si="31"/>
        <v>0</v>
      </c>
      <c r="AF52" s="20">
        <f t="shared" si="32"/>
        <v>0</v>
      </c>
      <c r="AG52" s="20">
        <f t="shared" si="33"/>
        <v>0</v>
      </c>
      <c r="AH52" s="20">
        <f t="shared" si="34"/>
        <v>0</v>
      </c>
      <c r="AI52" s="12" t="s">
        <v>202</v>
      </c>
      <c r="AJ52" s="20">
        <f t="shared" si="35"/>
        <v>0</v>
      </c>
      <c r="AK52" s="20">
        <f t="shared" si="36"/>
        <v>0</v>
      </c>
      <c r="AL52" s="20">
        <f t="shared" si="37"/>
        <v>0</v>
      </c>
      <c r="AN52" s="20">
        <v>21</v>
      </c>
      <c r="AO52" s="20">
        <f>I52*1</f>
        <v>0</v>
      </c>
      <c r="AP52" s="20">
        <f>I52*(1-1)</f>
        <v>0</v>
      </c>
      <c r="AQ52" s="19" t="s">
        <v>294</v>
      </c>
      <c r="AV52" s="20">
        <f t="shared" si="38"/>
        <v>0</v>
      </c>
      <c r="AW52" s="20">
        <f t="shared" si="39"/>
        <v>0</v>
      </c>
      <c r="AX52" s="20">
        <f t="shared" si="40"/>
        <v>0</v>
      </c>
      <c r="AY52" s="19" t="s">
        <v>142</v>
      </c>
      <c r="AZ52" s="19" t="s">
        <v>39</v>
      </c>
      <c r="BA52" s="12" t="s">
        <v>220</v>
      </c>
      <c r="BC52" s="20">
        <f t="shared" si="41"/>
        <v>0</v>
      </c>
      <c r="BD52" s="20">
        <f t="shared" si="42"/>
        <v>0</v>
      </c>
      <c r="BE52" s="20">
        <v>0</v>
      </c>
      <c r="BF52" s="20">
        <f>52</f>
        <v>52</v>
      </c>
      <c r="BH52" s="20">
        <f t="shared" si="43"/>
        <v>0</v>
      </c>
      <c r="BI52" s="20">
        <f t="shared" si="44"/>
        <v>0</v>
      </c>
      <c r="BJ52" s="20">
        <f t="shared" si="45"/>
        <v>0</v>
      </c>
      <c r="BK52" s="20"/>
      <c r="BL52" s="20">
        <v>18</v>
      </c>
    </row>
    <row r="53" spans="1:64" ht="15" customHeight="1">
      <c r="A53" s="38" t="s">
        <v>168</v>
      </c>
      <c r="B53" s="1" t="s">
        <v>123</v>
      </c>
      <c r="C53" s="57" t="s">
        <v>234</v>
      </c>
      <c r="D53" s="57"/>
      <c r="E53" s="57"/>
      <c r="F53" s="57"/>
      <c r="G53" s="1" t="s">
        <v>78</v>
      </c>
      <c r="H53" s="20">
        <v>16</v>
      </c>
      <c r="I53" s="20">
        <v>0</v>
      </c>
      <c r="J53" s="20">
        <f t="shared" si="24"/>
        <v>0</v>
      </c>
      <c r="K53" s="20">
        <f t="shared" si="25"/>
        <v>0</v>
      </c>
      <c r="L53" s="20">
        <f t="shared" si="26"/>
        <v>0</v>
      </c>
      <c r="M53" s="54" t="s">
        <v>241</v>
      </c>
      <c r="Z53" s="20">
        <f t="shared" si="27"/>
        <v>0</v>
      </c>
      <c r="AB53" s="20">
        <f t="shared" si="28"/>
        <v>0</v>
      </c>
      <c r="AC53" s="20">
        <f t="shared" si="29"/>
        <v>0</v>
      </c>
      <c r="AD53" s="20">
        <f t="shared" si="30"/>
        <v>0</v>
      </c>
      <c r="AE53" s="20">
        <f t="shared" si="31"/>
        <v>0</v>
      </c>
      <c r="AF53" s="20">
        <f t="shared" si="32"/>
        <v>0</v>
      </c>
      <c r="AG53" s="20">
        <f t="shared" si="33"/>
        <v>0</v>
      </c>
      <c r="AH53" s="20">
        <f t="shared" si="34"/>
        <v>0</v>
      </c>
      <c r="AI53" s="12" t="s">
        <v>202</v>
      </c>
      <c r="AJ53" s="20">
        <f t="shared" si="35"/>
        <v>0</v>
      </c>
      <c r="AK53" s="20">
        <f t="shared" si="36"/>
        <v>0</v>
      </c>
      <c r="AL53" s="20">
        <f t="shared" si="37"/>
        <v>0</v>
      </c>
      <c r="AN53" s="20">
        <v>21</v>
      </c>
      <c r="AO53" s="20">
        <f>I53*0</f>
        <v>0</v>
      </c>
      <c r="AP53" s="20">
        <f>I53*(1-0)</f>
        <v>0</v>
      </c>
      <c r="AQ53" s="19" t="s">
        <v>294</v>
      </c>
      <c r="AV53" s="20">
        <f t="shared" si="38"/>
        <v>0</v>
      </c>
      <c r="AW53" s="20">
        <f t="shared" si="39"/>
        <v>0</v>
      </c>
      <c r="AX53" s="20">
        <f t="shared" si="40"/>
        <v>0</v>
      </c>
      <c r="AY53" s="19" t="s">
        <v>142</v>
      </c>
      <c r="AZ53" s="19" t="s">
        <v>39</v>
      </c>
      <c r="BA53" s="12" t="s">
        <v>220</v>
      </c>
      <c r="BC53" s="20">
        <f t="shared" si="41"/>
        <v>0</v>
      </c>
      <c r="BD53" s="20">
        <f t="shared" si="42"/>
        <v>0</v>
      </c>
      <c r="BE53" s="20">
        <v>0</v>
      </c>
      <c r="BF53" s="20">
        <f>53</f>
        <v>53</v>
      </c>
      <c r="BH53" s="20">
        <f t="shared" si="43"/>
        <v>0</v>
      </c>
      <c r="BI53" s="20">
        <f t="shared" si="44"/>
        <v>0</v>
      </c>
      <c r="BJ53" s="20">
        <f t="shared" si="45"/>
        <v>0</v>
      </c>
      <c r="BK53" s="20"/>
      <c r="BL53" s="20">
        <v>18</v>
      </c>
    </row>
    <row r="54" spans="1:64" ht="15" customHeight="1">
      <c r="A54" s="38" t="s">
        <v>183</v>
      </c>
      <c r="B54" s="1" t="s">
        <v>293</v>
      </c>
      <c r="C54" s="57" t="s">
        <v>139</v>
      </c>
      <c r="D54" s="57"/>
      <c r="E54" s="57"/>
      <c r="F54" s="57"/>
      <c r="G54" s="1" t="s">
        <v>78</v>
      </c>
      <c r="H54" s="20">
        <v>32</v>
      </c>
      <c r="I54" s="20">
        <v>0</v>
      </c>
      <c r="J54" s="20">
        <f t="shared" si="24"/>
        <v>0</v>
      </c>
      <c r="K54" s="20">
        <f t="shared" si="25"/>
        <v>0</v>
      </c>
      <c r="L54" s="20">
        <f t="shared" si="26"/>
        <v>0</v>
      </c>
      <c r="M54" s="54" t="s">
        <v>202</v>
      </c>
      <c r="Z54" s="20">
        <f t="shared" si="27"/>
        <v>0</v>
      </c>
      <c r="AB54" s="20">
        <f t="shared" si="28"/>
        <v>0</v>
      </c>
      <c r="AC54" s="20">
        <f t="shared" si="29"/>
        <v>0</v>
      </c>
      <c r="AD54" s="20">
        <f t="shared" si="30"/>
        <v>0</v>
      </c>
      <c r="AE54" s="20">
        <f t="shared" si="31"/>
        <v>0</v>
      </c>
      <c r="AF54" s="20">
        <f t="shared" si="32"/>
        <v>0</v>
      </c>
      <c r="AG54" s="20">
        <f t="shared" si="33"/>
        <v>0</v>
      </c>
      <c r="AH54" s="20">
        <f t="shared" si="34"/>
        <v>0</v>
      </c>
      <c r="AI54" s="12" t="s">
        <v>202</v>
      </c>
      <c r="AJ54" s="20">
        <f t="shared" si="35"/>
        <v>0</v>
      </c>
      <c r="AK54" s="20">
        <f t="shared" si="36"/>
        <v>0</v>
      </c>
      <c r="AL54" s="20">
        <f t="shared" si="37"/>
        <v>0</v>
      </c>
      <c r="AN54" s="20">
        <v>21</v>
      </c>
      <c r="AO54" s="20">
        <f>I54*1</f>
        <v>0</v>
      </c>
      <c r="AP54" s="20">
        <f>I54*(1-1)</f>
        <v>0</v>
      </c>
      <c r="AQ54" s="19" t="s">
        <v>294</v>
      </c>
      <c r="AV54" s="20">
        <f t="shared" si="38"/>
        <v>0</v>
      </c>
      <c r="AW54" s="20">
        <f t="shared" si="39"/>
        <v>0</v>
      </c>
      <c r="AX54" s="20">
        <f t="shared" si="40"/>
        <v>0</v>
      </c>
      <c r="AY54" s="19" t="s">
        <v>142</v>
      </c>
      <c r="AZ54" s="19" t="s">
        <v>39</v>
      </c>
      <c r="BA54" s="12" t="s">
        <v>220</v>
      </c>
      <c r="BC54" s="20">
        <f t="shared" si="41"/>
        <v>0</v>
      </c>
      <c r="BD54" s="20">
        <f t="shared" si="42"/>
        <v>0</v>
      </c>
      <c r="BE54" s="20">
        <v>0</v>
      </c>
      <c r="BF54" s="20">
        <f>54</f>
        <v>54</v>
      </c>
      <c r="BH54" s="20">
        <f t="shared" si="43"/>
        <v>0</v>
      </c>
      <c r="BI54" s="20">
        <f t="shared" si="44"/>
        <v>0</v>
      </c>
      <c r="BJ54" s="20">
        <f t="shared" si="45"/>
        <v>0</v>
      </c>
      <c r="BK54" s="20"/>
      <c r="BL54" s="20">
        <v>18</v>
      </c>
    </row>
    <row r="55" spans="1:64" ht="15" customHeight="1">
      <c r="A55" s="38" t="s">
        <v>105</v>
      </c>
      <c r="B55" s="1" t="s">
        <v>310</v>
      </c>
      <c r="C55" s="57" t="s">
        <v>122</v>
      </c>
      <c r="D55" s="57"/>
      <c r="E55" s="57"/>
      <c r="F55" s="57"/>
      <c r="G55" s="1" t="s">
        <v>78</v>
      </c>
      <c r="H55" s="20">
        <v>16</v>
      </c>
      <c r="I55" s="20">
        <v>0</v>
      </c>
      <c r="J55" s="20">
        <f t="shared" si="24"/>
        <v>0</v>
      </c>
      <c r="K55" s="20">
        <f t="shared" si="25"/>
        <v>0</v>
      </c>
      <c r="L55" s="20">
        <f t="shared" si="26"/>
        <v>0</v>
      </c>
      <c r="M55" s="54" t="s">
        <v>241</v>
      </c>
      <c r="Z55" s="20">
        <f t="shared" si="27"/>
        <v>0</v>
      </c>
      <c r="AB55" s="20">
        <f t="shared" si="28"/>
        <v>0</v>
      </c>
      <c r="AC55" s="20">
        <f t="shared" si="29"/>
        <v>0</v>
      </c>
      <c r="AD55" s="20">
        <f t="shared" si="30"/>
        <v>0</v>
      </c>
      <c r="AE55" s="20">
        <f t="shared" si="31"/>
        <v>0</v>
      </c>
      <c r="AF55" s="20">
        <f t="shared" si="32"/>
        <v>0</v>
      </c>
      <c r="AG55" s="20">
        <f t="shared" si="33"/>
        <v>0</v>
      </c>
      <c r="AH55" s="20">
        <f t="shared" si="34"/>
        <v>0</v>
      </c>
      <c r="AI55" s="12" t="s">
        <v>202</v>
      </c>
      <c r="AJ55" s="20">
        <f t="shared" si="35"/>
        <v>0</v>
      </c>
      <c r="AK55" s="20">
        <f t="shared" si="36"/>
        <v>0</v>
      </c>
      <c r="AL55" s="20">
        <f t="shared" si="37"/>
        <v>0</v>
      </c>
      <c r="AN55" s="20">
        <v>21</v>
      </c>
      <c r="AO55" s="20">
        <f>I55*0.17665295536058</f>
        <v>0</v>
      </c>
      <c r="AP55" s="20">
        <f>I55*(1-0.17665295536058)</f>
        <v>0</v>
      </c>
      <c r="AQ55" s="19" t="s">
        <v>294</v>
      </c>
      <c r="AV55" s="20">
        <f t="shared" si="38"/>
        <v>0</v>
      </c>
      <c r="AW55" s="20">
        <f t="shared" si="39"/>
        <v>0</v>
      </c>
      <c r="AX55" s="20">
        <f t="shared" si="40"/>
        <v>0</v>
      </c>
      <c r="AY55" s="19" t="s">
        <v>142</v>
      </c>
      <c r="AZ55" s="19" t="s">
        <v>39</v>
      </c>
      <c r="BA55" s="12" t="s">
        <v>220</v>
      </c>
      <c r="BC55" s="20">
        <f t="shared" si="41"/>
        <v>0</v>
      </c>
      <c r="BD55" s="20">
        <f t="shared" si="42"/>
        <v>0</v>
      </c>
      <c r="BE55" s="20">
        <v>0</v>
      </c>
      <c r="BF55" s="20">
        <f>55</f>
        <v>55</v>
      </c>
      <c r="BH55" s="20">
        <f t="shared" si="43"/>
        <v>0</v>
      </c>
      <c r="BI55" s="20">
        <f t="shared" si="44"/>
        <v>0</v>
      </c>
      <c r="BJ55" s="20">
        <f t="shared" si="45"/>
        <v>0</v>
      </c>
      <c r="BK55" s="20"/>
      <c r="BL55" s="20">
        <v>18</v>
      </c>
    </row>
    <row r="56" spans="1:47" ht="15" customHeight="1">
      <c r="A56" s="46" t="s">
        <v>202</v>
      </c>
      <c r="B56" s="13" t="s">
        <v>205</v>
      </c>
      <c r="C56" s="58" t="s">
        <v>101</v>
      </c>
      <c r="D56" s="58"/>
      <c r="E56" s="58"/>
      <c r="F56" s="58"/>
      <c r="G56" s="44" t="s">
        <v>264</v>
      </c>
      <c r="H56" s="44" t="s">
        <v>264</v>
      </c>
      <c r="I56" s="44" t="s">
        <v>264</v>
      </c>
      <c r="J56" s="27">
        <f>SUM(J57:J57)</f>
        <v>0</v>
      </c>
      <c r="K56" s="27">
        <f>SUM(K57:K57)</f>
        <v>0</v>
      </c>
      <c r="L56" s="27">
        <f>SUM(L57:L57)</f>
        <v>0</v>
      </c>
      <c r="M56" s="16" t="s">
        <v>202</v>
      </c>
      <c r="AI56" s="12" t="s">
        <v>202</v>
      </c>
      <c r="AS56" s="27">
        <f>SUM(AJ57:AJ57)</f>
        <v>0</v>
      </c>
      <c r="AT56" s="27">
        <f>SUM(AK57:AK57)</f>
        <v>0</v>
      </c>
      <c r="AU56" s="27">
        <f>SUM(AL57:AL57)</f>
        <v>0</v>
      </c>
    </row>
    <row r="57" spans="1:64" ht="15" customHeight="1">
      <c r="A57" s="38" t="s">
        <v>285</v>
      </c>
      <c r="B57" s="1" t="s">
        <v>182</v>
      </c>
      <c r="C57" s="57" t="s">
        <v>162</v>
      </c>
      <c r="D57" s="57"/>
      <c r="E57" s="57"/>
      <c r="F57" s="57"/>
      <c r="G57" s="1" t="s">
        <v>284</v>
      </c>
      <c r="H57" s="20">
        <v>37.73</v>
      </c>
      <c r="I57" s="20">
        <v>0</v>
      </c>
      <c r="J57" s="20">
        <f>H57*AO57</f>
        <v>0</v>
      </c>
      <c r="K57" s="20">
        <f>H57*AP57</f>
        <v>0</v>
      </c>
      <c r="L57" s="20">
        <f>H57*I57</f>
        <v>0</v>
      </c>
      <c r="M57" s="54" t="s">
        <v>241</v>
      </c>
      <c r="Z57" s="20">
        <f>IF(AQ57="5",BJ57,0)</f>
        <v>0</v>
      </c>
      <c r="AB57" s="20">
        <f>IF(AQ57="1",BH57,0)</f>
        <v>0</v>
      </c>
      <c r="AC57" s="20">
        <f>IF(AQ57="1",BI57,0)</f>
        <v>0</v>
      </c>
      <c r="AD57" s="20">
        <f>IF(AQ57="7",BH57,0)</f>
        <v>0</v>
      </c>
      <c r="AE57" s="20">
        <f>IF(AQ57="7",BI57,0)</f>
        <v>0</v>
      </c>
      <c r="AF57" s="20">
        <f>IF(AQ57="2",BH57,0)</f>
        <v>0</v>
      </c>
      <c r="AG57" s="20">
        <f>IF(AQ57="2",BI57,0)</f>
        <v>0</v>
      </c>
      <c r="AH57" s="20">
        <f>IF(AQ57="0",BJ57,0)</f>
        <v>0</v>
      </c>
      <c r="AI57" s="12" t="s">
        <v>202</v>
      </c>
      <c r="AJ57" s="20">
        <f>IF(AN57=0,L57,0)</f>
        <v>0</v>
      </c>
      <c r="AK57" s="20">
        <f>IF(AN57=15,L57,0)</f>
        <v>0</v>
      </c>
      <c r="AL57" s="20">
        <f>IF(AN57=21,L57,0)</f>
        <v>0</v>
      </c>
      <c r="AN57" s="20">
        <v>21</v>
      </c>
      <c r="AO57" s="20">
        <f>I57*0</f>
        <v>0</v>
      </c>
      <c r="AP57" s="20">
        <f>I57*(1-0)</f>
        <v>0</v>
      </c>
      <c r="AQ57" s="19" t="s">
        <v>294</v>
      </c>
      <c r="AV57" s="20">
        <f>AW57+AX57</f>
        <v>0</v>
      </c>
      <c r="AW57" s="20">
        <f>H57*AO57</f>
        <v>0</v>
      </c>
      <c r="AX57" s="20">
        <f>H57*AP57</f>
        <v>0</v>
      </c>
      <c r="AY57" s="19" t="s">
        <v>170</v>
      </c>
      <c r="AZ57" s="19" t="s">
        <v>51</v>
      </c>
      <c r="BA57" s="12" t="s">
        <v>220</v>
      </c>
      <c r="BC57" s="20">
        <f>AW57+AX57</f>
        <v>0</v>
      </c>
      <c r="BD57" s="20">
        <f>I57/(100-BE57)*100</f>
        <v>0</v>
      </c>
      <c r="BE57" s="20">
        <v>0</v>
      </c>
      <c r="BF57" s="20">
        <f>57</f>
        <v>57</v>
      </c>
      <c r="BH57" s="20">
        <f>H57*AO57</f>
        <v>0</v>
      </c>
      <c r="BI57" s="20">
        <f>H57*AP57</f>
        <v>0</v>
      </c>
      <c r="BJ57" s="20">
        <f>H57*I57</f>
        <v>0</v>
      </c>
      <c r="BK57" s="20"/>
      <c r="BL57" s="20">
        <v>21</v>
      </c>
    </row>
    <row r="58" spans="1:47" ht="15" customHeight="1">
      <c r="A58" s="46" t="s">
        <v>202</v>
      </c>
      <c r="B58" s="13" t="s">
        <v>176</v>
      </c>
      <c r="C58" s="58" t="s">
        <v>194</v>
      </c>
      <c r="D58" s="58"/>
      <c r="E58" s="58"/>
      <c r="F58" s="58"/>
      <c r="G58" s="44" t="s">
        <v>264</v>
      </c>
      <c r="H58" s="44" t="s">
        <v>264</v>
      </c>
      <c r="I58" s="44" t="s">
        <v>264</v>
      </c>
      <c r="J58" s="27">
        <f>SUM(J59:J62)</f>
        <v>0</v>
      </c>
      <c r="K58" s="27">
        <f>SUM(K59:K62)</f>
        <v>0</v>
      </c>
      <c r="L58" s="27">
        <f>SUM(L59:L62)</f>
        <v>0</v>
      </c>
      <c r="M58" s="16" t="s">
        <v>202</v>
      </c>
      <c r="AI58" s="12" t="s">
        <v>202</v>
      </c>
      <c r="AS58" s="27">
        <f>SUM(AJ59:AJ62)</f>
        <v>0</v>
      </c>
      <c r="AT58" s="27">
        <f>SUM(AK59:AK62)</f>
        <v>0</v>
      </c>
      <c r="AU58" s="27">
        <f>SUM(AL59:AL62)</f>
        <v>0</v>
      </c>
    </row>
    <row r="59" spans="1:64" ht="15" customHeight="1">
      <c r="A59" s="38" t="s">
        <v>61</v>
      </c>
      <c r="B59" s="1" t="s">
        <v>308</v>
      </c>
      <c r="C59" s="57" t="s">
        <v>156</v>
      </c>
      <c r="D59" s="57"/>
      <c r="E59" s="57"/>
      <c r="F59" s="57"/>
      <c r="G59" s="1" t="s">
        <v>284</v>
      </c>
      <c r="H59" s="20">
        <v>37.73</v>
      </c>
      <c r="I59" s="20">
        <v>0</v>
      </c>
      <c r="J59" s="20">
        <f>H59*AO59</f>
        <v>0</v>
      </c>
      <c r="K59" s="20">
        <f>H59*AP59</f>
        <v>0</v>
      </c>
      <c r="L59" s="20">
        <f>H59*I59</f>
        <v>0</v>
      </c>
      <c r="M59" s="54" t="s">
        <v>241</v>
      </c>
      <c r="Z59" s="20">
        <f>IF(AQ59="5",BJ59,0)</f>
        <v>0</v>
      </c>
      <c r="AB59" s="20">
        <f>IF(AQ59="1",BH59,0)</f>
        <v>0</v>
      </c>
      <c r="AC59" s="20">
        <f>IF(AQ59="1",BI59,0)</f>
        <v>0</v>
      </c>
      <c r="AD59" s="20">
        <f>IF(AQ59="7",BH59,0)</f>
        <v>0</v>
      </c>
      <c r="AE59" s="20">
        <f>IF(AQ59="7",BI59,0)</f>
        <v>0</v>
      </c>
      <c r="AF59" s="20">
        <f>IF(AQ59="2",BH59,0)</f>
        <v>0</v>
      </c>
      <c r="AG59" s="20">
        <f>IF(AQ59="2",BI59,0)</f>
        <v>0</v>
      </c>
      <c r="AH59" s="20">
        <f>IF(AQ59="0",BJ59,0)</f>
        <v>0</v>
      </c>
      <c r="AI59" s="12" t="s">
        <v>202</v>
      </c>
      <c r="AJ59" s="20">
        <f>IF(AN59=0,L59,0)</f>
        <v>0</v>
      </c>
      <c r="AK59" s="20">
        <f>IF(AN59=15,L59,0)</f>
        <v>0</v>
      </c>
      <c r="AL59" s="20">
        <f>IF(AN59=21,L59,0)</f>
        <v>0</v>
      </c>
      <c r="AN59" s="20">
        <v>21</v>
      </c>
      <c r="AO59" s="20">
        <f>I59*0.821804082128323</f>
        <v>0</v>
      </c>
      <c r="AP59" s="20">
        <f>I59*(1-0.821804082128323)</f>
        <v>0</v>
      </c>
      <c r="AQ59" s="19" t="s">
        <v>294</v>
      </c>
      <c r="AV59" s="20">
        <f>AW59+AX59</f>
        <v>0</v>
      </c>
      <c r="AW59" s="20">
        <f>H59*AO59</f>
        <v>0</v>
      </c>
      <c r="AX59" s="20">
        <f>H59*AP59</f>
        <v>0</v>
      </c>
      <c r="AY59" s="19" t="s">
        <v>305</v>
      </c>
      <c r="AZ59" s="19" t="s">
        <v>167</v>
      </c>
      <c r="BA59" s="12" t="s">
        <v>220</v>
      </c>
      <c r="BC59" s="20">
        <f>AW59+AX59</f>
        <v>0</v>
      </c>
      <c r="BD59" s="20">
        <f>I59/(100-BE59)*100</f>
        <v>0</v>
      </c>
      <c r="BE59" s="20">
        <v>0</v>
      </c>
      <c r="BF59" s="20">
        <f>59</f>
        <v>59</v>
      </c>
      <c r="BH59" s="20">
        <f>H59*AO59</f>
        <v>0</v>
      </c>
      <c r="BI59" s="20">
        <f>H59*AP59</f>
        <v>0</v>
      </c>
      <c r="BJ59" s="20">
        <f>H59*I59</f>
        <v>0</v>
      </c>
      <c r="BK59" s="20"/>
      <c r="BL59" s="20">
        <v>56</v>
      </c>
    </row>
    <row r="60" spans="1:64" ht="15" customHeight="1">
      <c r="A60" s="38" t="s">
        <v>99</v>
      </c>
      <c r="B60" s="1" t="s">
        <v>232</v>
      </c>
      <c r="C60" s="57" t="s">
        <v>114</v>
      </c>
      <c r="D60" s="57"/>
      <c r="E60" s="57"/>
      <c r="F60" s="57"/>
      <c r="G60" s="1" t="s">
        <v>134</v>
      </c>
      <c r="H60" s="20">
        <v>52.822</v>
      </c>
      <c r="I60" s="20">
        <v>0</v>
      </c>
      <c r="J60" s="20">
        <f>H60*AO60</f>
        <v>0</v>
      </c>
      <c r="K60" s="20">
        <f>H60*AP60</f>
        <v>0</v>
      </c>
      <c r="L60" s="20">
        <f>H60*I60</f>
        <v>0</v>
      </c>
      <c r="M60" s="54" t="s">
        <v>241</v>
      </c>
      <c r="Z60" s="20">
        <f>IF(AQ60="5",BJ60,0)</f>
        <v>0</v>
      </c>
      <c r="AB60" s="20">
        <f>IF(AQ60="1",BH60,0)</f>
        <v>0</v>
      </c>
      <c r="AC60" s="20">
        <f>IF(AQ60="1",BI60,0)</f>
        <v>0</v>
      </c>
      <c r="AD60" s="20">
        <f>IF(AQ60="7",BH60,0)</f>
        <v>0</v>
      </c>
      <c r="AE60" s="20">
        <f>IF(AQ60="7",BI60,0)</f>
        <v>0</v>
      </c>
      <c r="AF60" s="20">
        <f>IF(AQ60="2",BH60,0)</f>
        <v>0</v>
      </c>
      <c r="AG60" s="20">
        <f>IF(AQ60="2",BI60,0)</f>
        <v>0</v>
      </c>
      <c r="AH60" s="20">
        <f>IF(AQ60="0",BJ60,0)</f>
        <v>0</v>
      </c>
      <c r="AI60" s="12" t="s">
        <v>202</v>
      </c>
      <c r="AJ60" s="20">
        <f>IF(AN60=0,L60,0)</f>
        <v>0</v>
      </c>
      <c r="AK60" s="20">
        <f>IF(AN60=15,L60,0)</f>
        <v>0</v>
      </c>
      <c r="AL60" s="20">
        <f>IF(AN60=21,L60,0)</f>
        <v>0</v>
      </c>
      <c r="AN60" s="20">
        <v>21</v>
      </c>
      <c r="AO60" s="20">
        <f>I60*1</f>
        <v>0</v>
      </c>
      <c r="AP60" s="20">
        <f>I60*(1-1)</f>
        <v>0</v>
      </c>
      <c r="AQ60" s="19" t="s">
        <v>294</v>
      </c>
      <c r="AV60" s="20">
        <f>AW60+AX60</f>
        <v>0</v>
      </c>
      <c r="AW60" s="20">
        <f>H60*AO60</f>
        <v>0</v>
      </c>
      <c r="AX60" s="20">
        <f>H60*AP60</f>
        <v>0</v>
      </c>
      <c r="AY60" s="19" t="s">
        <v>305</v>
      </c>
      <c r="AZ60" s="19" t="s">
        <v>167</v>
      </c>
      <c r="BA60" s="12" t="s">
        <v>220</v>
      </c>
      <c r="BC60" s="20">
        <f>AW60+AX60</f>
        <v>0</v>
      </c>
      <c r="BD60" s="20">
        <f>I60/(100-BE60)*100</f>
        <v>0</v>
      </c>
      <c r="BE60" s="20">
        <v>0</v>
      </c>
      <c r="BF60" s="20">
        <f>60</f>
        <v>60</v>
      </c>
      <c r="BH60" s="20">
        <f>H60*AO60</f>
        <v>0</v>
      </c>
      <c r="BI60" s="20">
        <f>H60*AP60</f>
        <v>0</v>
      </c>
      <c r="BJ60" s="20">
        <f>H60*I60</f>
        <v>0</v>
      </c>
      <c r="BK60" s="20"/>
      <c r="BL60" s="20">
        <v>56</v>
      </c>
    </row>
    <row r="61" spans="1:64" ht="15" customHeight="1">
      <c r="A61" s="38" t="s">
        <v>127</v>
      </c>
      <c r="B61" s="1" t="s">
        <v>155</v>
      </c>
      <c r="C61" s="57" t="s">
        <v>82</v>
      </c>
      <c r="D61" s="57"/>
      <c r="E61" s="57"/>
      <c r="F61" s="57"/>
      <c r="G61" s="1" t="s">
        <v>284</v>
      </c>
      <c r="H61" s="20">
        <v>37.73</v>
      </c>
      <c r="I61" s="20">
        <v>0</v>
      </c>
      <c r="J61" s="20">
        <f>H61*AO61</f>
        <v>0</v>
      </c>
      <c r="K61" s="20">
        <f>H61*AP61</f>
        <v>0</v>
      </c>
      <c r="L61" s="20">
        <f>H61*I61</f>
        <v>0</v>
      </c>
      <c r="M61" s="54" t="s">
        <v>241</v>
      </c>
      <c r="Z61" s="20">
        <f>IF(AQ61="5",BJ61,0)</f>
        <v>0</v>
      </c>
      <c r="AB61" s="20">
        <f>IF(AQ61="1",BH61,0)</f>
        <v>0</v>
      </c>
      <c r="AC61" s="20">
        <f>IF(AQ61="1",BI61,0)</f>
        <v>0</v>
      </c>
      <c r="AD61" s="20">
        <f>IF(AQ61="7",BH61,0)</f>
        <v>0</v>
      </c>
      <c r="AE61" s="20">
        <f>IF(AQ61="7",BI61,0)</f>
        <v>0</v>
      </c>
      <c r="AF61" s="20">
        <f>IF(AQ61="2",BH61,0)</f>
        <v>0</v>
      </c>
      <c r="AG61" s="20">
        <f>IF(AQ61="2",BI61,0)</f>
        <v>0</v>
      </c>
      <c r="AH61" s="20">
        <f>IF(AQ61="0",BJ61,0)</f>
        <v>0</v>
      </c>
      <c r="AI61" s="12" t="s">
        <v>202</v>
      </c>
      <c r="AJ61" s="20">
        <f>IF(AN61=0,L61,0)</f>
        <v>0</v>
      </c>
      <c r="AK61" s="20">
        <f>IF(AN61=15,L61,0)</f>
        <v>0</v>
      </c>
      <c r="AL61" s="20">
        <f>IF(AN61=21,L61,0)</f>
        <v>0</v>
      </c>
      <c r="AN61" s="20">
        <v>21</v>
      </c>
      <c r="AO61" s="20">
        <f>I61*0.692065208093437</f>
        <v>0</v>
      </c>
      <c r="AP61" s="20">
        <f>I61*(1-0.692065208093437)</f>
        <v>0</v>
      </c>
      <c r="AQ61" s="19" t="s">
        <v>294</v>
      </c>
      <c r="AV61" s="20">
        <f>AW61+AX61</f>
        <v>0</v>
      </c>
      <c r="AW61" s="20">
        <f>H61*AO61</f>
        <v>0</v>
      </c>
      <c r="AX61" s="20">
        <f>H61*AP61</f>
        <v>0</v>
      </c>
      <c r="AY61" s="19" t="s">
        <v>305</v>
      </c>
      <c r="AZ61" s="19" t="s">
        <v>167</v>
      </c>
      <c r="BA61" s="12" t="s">
        <v>220</v>
      </c>
      <c r="BC61" s="20">
        <f>AW61+AX61</f>
        <v>0</v>
      </c>
      <c r="BD61" s="20">
        <f>I61/(100-BE61)*100</f>
        <v>0</v>
      </c>
      <c r="BE61" s="20">
        <v>0</v>
      </c>
      <c r="BF61" s="20">
        <f>61</f>
        <v>61</v>
      </c>
      <c r="BH61" s="20">
        <f>H61*AO61</f>
        <v>0</v>
      </c>
      <c r="BI61" s="20">
        <f>H61*AP61</f>
        <v>0</v>
      </c>
      <c r="BJ61" s="20">
        <f>H61*I61</f>
        <v>0</v>
      </c>
      <c r="BK61" s="20"/>
      <c r="BL61" s="20">
        <v>56</v>
      </c>
    </row>
    <row r="62" spans="1:64" ht="15" customHeight="1">
      <c r="A62" s="38" t="s">
        <v>104</v>
      </c>
      <c r="B62" s="1" t="s">
        <v>136</v>
      </c>
      <c r="C62" s="57" t="s">
        <v>70</v>
      </c>
      <c r="D62" s="57"/>
      <c r="E62" s="57"/>
      <c r="F62" s="57"/>
      <c r="G62" s="1" t="s">
        <v>134</v>
      </c>
      <c r="H62" s="20">
        <v>22.638</v>
      </c>
      <c r="I62" s="20">
        <v>0</v>
      </c>
      <c r="J62" s="20">
        <f>H62*AO62</f>
        <v>0</v>
      </c>
      <c r="K62" s="20">
        <f>H62*AP62</f>
        <v>0</v>
      </c>
      <c r="L62" s="20">
        <f>H62*I62</f>
        <v>0</v>
      </c>
      <c r="M62" s="54" t="s">
        <v>241</v>
      </c>
      <c r="Z62" s="20">
        <f>IF(AQ62="5",BJ62,0)</f>
        <v>0</v>
      </c>
      <c r="AB62" s="20">
        <f>IF(AQ62="1",BH62,0)</f>
        <v>0</v>
      </c>
      <c r="AC62" s="20">
        <f>IF(AQ62="1",BI62,0)</f>
        <v>0</v>
      </c>
      <c r="AD62" s="20">
        <f>IF(AQ62="7",BH62,0)</f>
        <v>0</v>
      </c>
      <c r="AE62" s="20">
        <f>IF(AQ62="7",BI62,0)</f>
        <v>0</v>
      </c>
      <c r="AF62" s="20">
        <f>IF(AQ62="2",BH62,0)</f>
        <v>0</v>
      </c>
      <c r="AG62" s="20">
        <f>IF(AQ62="2",BI62,0)</f>
        <v>0</v>
      </c>
      <c r="AH62" s="20">
        <f>IF(AQ62="0",BJ62,0)</f>
        <v>0</v>
      </c>
      <c r="AI62" s="12" t="s">
        <v>202</v>
      </c>
      <c r="AJ62" s="20">
        <f>IF(AN62=0,L62,0)</f>
        <v>0</v>
      </c>
      <c r="AK62" s="20">
        <f>IF(AN62=15,L62,0)</f>
        <v>0</v>
      </c>
      <c r="AL62" s="20">
        <f>IF(AN62=21,L62,0)</f>
        <v>0</v>
      </c>
      <c r="AN62" s="20">
        <v>21</v>
      </c>
      <c r="AO62" s="20">
        <f>I62*1</f>
        <v>0</v>
      </c>
      <c r="AP62" s="20">
        <f>I62*(1-1)</f>
        <v>0</v>
      </c>
      <c r="AQ62" s="19" t="s">
        <v>294</v>
      </c>
      <c r="AV62" s="20">
        <f>AW62+AX62</f>
        <v>0</v>
      </c>
      <c r="AW62" s="20">
        <f>H62*AO62</f>
        <v>0</v>
      </c>
      <c r="AX62" s="20">
        <f>H62*AP62</f>
        <v>0</v>
      </c>
      <c r="AY62" s="19" t="s">
        <v>305</v>
      </c>
      <c r="AZ62" s="19" t="s">
        <v>167</v>
      </c>
      <c r="BA62" s="12" t="s">
        <v>220</v>
      </c>
      <c r="BC62" s="20">
        <f>AW62+AX62</f>
        <v>0</v>
      </c>
      <c r="BD62" s="20">
        <f>I62/(100-BE62)*100</f>
        <v>0</v>
      </c>
      <c r="BE62" s="20">
        <v>0</v>
      </c>
      <c r="BF62" s="20">
        <f>62</f>
        <v>62</v>
      </c>
      <c r="BH62" s="20">
        <f>H62*AO62</f>
        <v>0</v>
      </c>
      <c r="BI62" s="20">
        <f>H62*AP62</f>
        <v>0</v>
      </c>
      <c r="BJ62" s="20">
        <f>H62*I62</f>
        <v>0</v>
      </c>
      <c r="BK62" s="20"/>
      <c r="BL62" s="20">
        <v>56</v>
      </c>
    </row>
    <row r="63" spans="1:47" ht="15" customHeight="1">
      <c r="A63" s="46" t="s">
        <v>202</v>
      </c>
      <c r="B63" s="13" t="s">
        <v>132</v>
      </c>
      <c r="C63" s="58" t="s">
        <v>267</v>
      </c>
      <c r="D63" s="58"/>
      <c r="E63" s="58"/>
      <c r="F63" s="58"/>
      <c r="G63" s="44" t="s">
        <v>264</v>
      </c>
      <c r="H63" s="44" t="s">
        <v>264</v>
      </c>
      <c r="I63" s="44" t="s">
        <v>264</v>
      </c>
      <c r="J63" s="27">
        <f>SUM(J64:J65)</f>
        <v>0</v>
      </c>
      <c r="K63" s="27">
        <f>SUM(K64:K65)</f>
        <v>0</v>
      </c>
      <c r="L63" s="27">
        <f>SUM(L64:L65)</f>
        <v>0</v>
      </c>
      <c r="M63" s="16" t="s">
        <v>202</v>
      </c>
      <c r="AI63" s="12" t="s">
        <v>202</v>
      </c>
      <c r="AS63" s="27">
        <f>SUM(AJ64:AJ65)</f>
        <v>0</v>
      </c>
      <c r="AT63" s="27">
        <f>SUM(AK64:AK65)</f>
        <v>0</v>
      </c>
      <c r="AU63" s="27">
        <f>SUM(AL64:AL65)</f>
        <v>0</v>
      </c>
    </row>
    <row r="64" spans="1:64" ht="15" customHeight="1">
      <c r="A64" s="38" t="s">
        <v>233</v>
      </c>
      <c r="B64" s="1" t="s">
        <v>219</v>
      </c>
      <c r="C64" s="57" t="s">
        <v>196</v>
      </c>
      <c r="D64" s="57"/>
      <c r="E64" s="57"/>
      <c r="F64" s="57"/>
      <c r="G64" s="1" t="s">
        <v>284</v>
      </c>
      <c r="H64" s="20">
        <v>37.73</v>
      </c>
      <c r="I64" s="20">
        <v>0</v>
      </c>
      <c r="J64" s="20">
        <f>H64*AO64</f>
        <v>0</v>
      </c>
      <c r="K64" s="20">
        <f>H64*AP64</f>
        <v>0</v>
      </c>
      <c r="L64" s="20">
        <f>H64*I64</f>
        <v>0</v>
      </c>
      <c r="M64" s="54" t="s">
        <v>241</v>
      </c>
      <c r="Z64" s="20">
        <f>IF(AQ64="5",BJ64,0)</f>
        <v>0</v>
      </c>
      <c r="AB64" s="20">
        <f>IF(AQ64="1",BH64,0)</f>
        <v>0</v>
      </c>
      <c r="AC64" s="20">
        <f>IF(AQ64="1",BI64,0)</f>
        <v>0</v>
      </c>
      <c r="AD64" s="20">
        <f>IF(AQ64="7",BH64,0)</f>
        <v>0</v>
      </c>
      <c r="AE64" s="20">
        <f>IF(AQ64="7",BI64,0)</f>
        <v>0</v>
      </c>
      <c r="AF64" s="20">
        <f>IF(AQ64="2",BH64,0)</f>
        <v>0</v>
      </c>
      <c r="AG64" s="20">
        <f>IF(AQ64="2",BI64,0)</f>
        <v>0</v>
      </c>
      <c r="AH64" s="20">
        <f>IF(AQ64="0",BJ64,0)</f>
        <v>0</v>
      </c>
      <c r="AI64" s="12" t="s">
        <v>202</v>
      </c>
      <c r="AJ64" s="20">
        <f>IF(AN64=0,L64,0)</f>
        <v>0</v>
      </c>
      <c r="AK64" s="20">
        <f>IF(AN64=15,L64,0)</f>
        <v>0</v>
      </c>
      <c r="AL64" s="20">
        <f>IF(AN64=21,L64,0)</f>
        <v>0</v>
      </c>
      <c r="AN64" s="20">
        <v>21</v>
      </c>
      <c r="AO64" s="20">
        <f>I64*0.0623418908028883</f>
        <v>0</v>
      </c>
      <c r="AP64" s="20">
        <f>I64*(1-0.0623418908028883)</f>
        <v>0</v>
      </c>
      <c r="AQ64" s="19" t="s">
        <v>294</v>
      </c>
      <c r="AV64" s="20">
        <f>AW64+AX64</f>
        <v>0</v>
      </c>
      <c r="AW64" s="20">
        <f>H64*AO64</f>
        <v>0</v>
      </c>
      <c r="AX64" s="20">
        <f>H64*AP64</f>
        <v>0</v>
      </c>
      <c r="AY64" s="19" t="s">
        <v>286</v>
      </c>
      <c r="AZ64" s="19" t="s">
        <v>167</v>
      </c>
      <c r="BA64" s="12" t="s">
        <v>220</v>
      </c>
      <c r="BC64" s="20">
        <f>AW64+AX64</f>
        <v>0</v>
      </c>
      <c r="BD64" s="20">
        <f>I64/(100-BE64)*100</f>
        <v>0</v>
      </c>
      <c r="BE64" s="20">
        <v>0</v>
      </c>
      <c r="BF64" s="20">
        <f>64</f>
        <v>64</v>
      </c>
      <c r="BH64" s="20">
        <f>H64*AO64</f>
        <v>0</v>
      </c>
      <c r="BI64" s="20">
        <f>H64*AP64</f>
        <v>0</v>
      </c>
      <c r="BJ64" s="20">
        <f>H64*I64</f>
        <v>0</v>
      </c>
      <c r="BK64" s="20"/>
      <c r="BL64" s="20">
        <v>59</v>
      </c>
    </row>
    <row r="65" spans="1:64" ht="15" customHeight="1">
      <c r="A65" s="38" t="s">
        <v>302</v>
      </c>
      <c r="B65" s="1" t="s">
        <v>66</v>
      </c>
      <c r="C65" s="57" t="s">
        <v>106</v>
      </c>
      <c r="D65" s="57"/>
      <c r="E65" s="57"/>
      <c r="F65" s="57"/>
      <c r="G65" s="1" t="s">
        <v>134</v>
      </c>
      <c r="H65" s="20">
        <v>15.092</v>
      </c>
      <c r="I65" s="20">
        <v>0</v>
      </c>
      <c r="J65" s="20">
        <f>H65*AO65</f>
        <v>0</v>
      </c>
      <c r="K65" s="20">
        <f>H65*AP65</f>
        <v>0</v>
      </c>
      <c r="L65" s="20">
        <f>H65*I65</f>
        <v>0</v>
      </c>
      <c r="M65" s="54" t="s">
        <v>241</v>
      </c>
      <c r="Z65" s="20">
        <f>IF(AQ65="5",BJ65,0)</f>
        <v>0</v>
      </c>
      <c r="AB65" s="20">
        <f>IF(AQ65="1",BH65,0)</f>
        <v>0</v>
      </c>
      <c r="AC65" s="20">
        <f>IF(AQ65="1",BI65,0)</f>
        <v>0</v>
      </c>
      <c r="AD65" s="20">
        <f>IF(AQ65="7",BH65,0)</f>
        <v>0</v>
      </c>
      <c r="AE65" s="20">
        <f>IF(AQ65="7",BI65,0)</f>
        <v>0</v>
      </c>
      <c r="AF65" s="20">
        <f>IF(AQ65="2",BH65,0)</f>
        <v>0</v>
      </c>
      <c r="AG65" s="20">
        <f>IF(AQ65="2",BI65,0)</f>
        <v>0</v>
      </c>
      <c r="AH65" s="20">
        <f>IF(AQ65="0",BJ65,0)</f>
        <v>0</v>
      </c>
      <c r="AI65" s="12" t="s">
        <v>202</v>
      </c>
      <c r="AJ65" s="20">
        <f>IF(AN65=0,L65,0)</f>
        <v>0</v>
      </c>
      <c r="AK65" s="20">
        <f>IF(AN65=15,L65,0)</f>
        <v>0</v>
      </c>
      <c r="AL65" s="20">
        <f>IF(AN65=21,L65,0)</f>
        <v>0</v>
      </c>
      <c r="AN65" s="20">
        <v>21</v>
      </c>
      <c r="AO65" s="20">
        <f>I65*1</f>
        <v>0</v>
      </c>
      <c r="AP65" s="20">
        <f>I65*(1-1)</f>
        <v>0</v>
      </c>
      <c r="AQ65" s="19" t="s">
        <v>294</v>
      </c>
      <c r="AV65" s="20">
        <f>AW65+AX65</f>
        <v>0</v>
      </c>
      <c r="AW65" s="20">
        <f>H65*AO65</f>
        <v>0</v>
      </c>
      <c r="AX65" s="20">
        <f>H65*AP65</f>
        <v>0</v>
      </c>
      <c r="AY65" s="19" t="s">
        <v>286</v>
      </c>
      <c r="AZ65" s="19" t="s">
        <v>167</v>
      </c>
      <c r="BA65" s="12" t="s">
        <v>220</v>
      </c>
      <c r="BC65" s="20">
        <f>AW65+AX65</f>
        <v>0</v>
      </c>
      <c r="BD65" s="20">
        <f>I65/(100-BE65)*100</f>
        <v>0</v>
      </c>
      <c r="BE65" s="20">
        <v>0</v>
      </c>
      <c r="BF65" s="20">
        <f>65</f>
        <v>65</v>
      </c>
      <c r="BH65" s="20">
        <f>H65*AO65</f>
        <v>0</v>
      </c>
      <c r="BI65" s="20">
        <f>H65*AP65</f>
        <v>0</v>
      </c>
      <c r="BJ65" s="20">
        <f>H65*I65</f>
        <v>0</v>
      </c>
      <c r="BK65" s="20"/>
      <c r="BL65" s="20">
        <v>59</v>
      </c>
    </row>
    <row r="66" spans="1:47" ht="15" customHeight="1">
      <c r="A66" s="46" t="s">
        <v>202</v>
      </c>
      <c r="B66" s="13" t="s">
        <v>10</v>
      </c>
      <c r="C66" s="58" t="s">
        <v>108</v>
      </c>
      <c r="D66" s="58"/>
      <c r="E66" s="58"/>
      <c r="F66" s="58"/>
      <c r="G66" s="44" t="s">
        <v>264</v>
      </c>
      <c r="H66" s="44" t="s">
        <v>264</v>
      </c>
      <c r="I66" s="44" t="s">
        <v>264</v>
      </c>
      <c r="J66" s="27">
        <f>SUM(J67:J69)</f>
        <v>0</v>
      </c>
      <c r="K66" s="27">
        <f>SUM(K67:K69)</f>
        <v>0</v>
      </c>
      <c r="L66" s="27">
        <f>SUM(L67:L69)</f>
        <v>0</v>
      </c>
      <c r="M66" s="16" t="s">
        <v>202</v>
      </c>
      <c r="AI66" s="12" t="s">
        <v>202</v>
      </c>
      <c r="AS66" s="27">
        <f>SUM(AJ67:AJ69)</f>
        <v>0</v>
      </c>
      <c r="AT66" s="27">
        <f>SUM(AK67:AK69)</f>
        <v>0</v>
      </c>
      <c r="AU66" s="27">
        <f>SUM(AL67:AL69)</f>
        <v>0</v>
      </c>
    </row>
    <row r="67" spans="1:64" ht="15" customHeight="1">
      <c r="A67" s="38" t="s">
        <v>21</v>
      </c>
      <c r="B67" s="1" t="s">
        <v>192</v>
      </c>
      <c r="C67" s="57" t="s">
        <v>272</v>
      </c>
      <c r="D67" s="57"/>
      <c r="E67" s="57"/>
      <c r="F67" s="57"/>
      <c r="G67" s="1" t="s">
        <v>238</v>
      </c>
      <c r="H67" s="20">
        <v>102.15</v>
      </c>
      <c r="I67" s="20">
        <v>0</v>
      </c>
      <c r="J67" s="20">
        <f>H67*AO67</f>
        <v>0</v>
      </c>
      <c r="K67" s="20">
        <f>H67*AP67</f>
        <v>0</v>
      </c>
      <c r="L67" s="20">
        <f>H67*I67</f>
        <v>0</v>
      </c>
      <c r="M67" s="54" t="s">
        <v>241</v>
      </c>
      <c r="Z67" s="20">
        <f>IF(AQ67="5",BJ67,0)</f>
        <v>0</v>
      </c>
      <c r="AB67" s="20">
        <f>IF(AQ67="1",BH67,0)</f>
        <v>0</v>
      </c>
      <c r="AC67" s="20">
        <f>IF(AQ67="1",BI67,0)</f>
        <v>0</v>
      </c>
      <c r="AD67" s="20">
        <f>IF(AQ67="7",BH67,0)</f>
        <v>0</v>
      </c>
      <c r="AE67" s="20">
        <f>IF(AQ67="7",BI67,0)</f>
        <v>0</v>
      </c>
      <c r="AF67" s="20">
        <f>IF(AQ67="2",BH67,0)</f>
        <v>0</v>
      </c>
      <c r="AG67" s="20">
        <f>IF(AQ67="2",BI67,0)</f>
        <v>0</v>
      </c>
      <c r="AH67" s="20">
        <f>IF(AQ67="0",BJ67,0)</f>
        <v>0</v>
      </c>
      <c r="AI67" s="12" t="s">
        <v>202</v>
      </c>
      <c r="AJ67" s="20">
        <f>IF(AN67=0,L67,0)</f>
        <v>0</v>
      </c>
      <c r="AK67" s="20">
        <f>IF(AN67=15,L67,0)</f>
        <v>0</v>
      </c>
      <c r="AL67" s="20">
        <f>IF(AN67=21,L67,0)</f>
        <v>0</v>
      </c>
      <c r="AN67" s="20">
        <v>21</v>
      </c>
      <c r="AO67" s="20">
        <f>I67*0</f>
        <v>0</v>
      </c>
      <c r="AP67" s="20">
        <f>I67*(1-0)</f>
        <v>0</v>
      </c>
      <c r="AQ67" s="19" t="s">
        <v>294</v>
      </c>
      <c r="AV67" s="20">
        <f>AW67+AX67</f>
        <v>0</v>
      </c>
      <c r="AW67" s="20">
        <f>H67*AO67</f>
        <v>0</v>
      </c>
      <c r="AX67" s="20">
        <f>H67*AP67</f>
        <v>0</v>
      </c>
      <c r="AY67" s="19" t="s">
        <v>281</v>
      </c>
      <c r="AZ67" s="19" t="s">
        <v>107</v>
      </c>
      <c r="BA67" s="12" t="s">
        <v>220</v>
      </c>
      <c r="BC67" s="20">
        <f>AW67+AX67</f>
        <v>0</v>
      </c>
      <c r="BD67" s="20">
        <f>I67/(100-BE67)*100</f>
        <v>0</v>
      </c>
      <c r="BE67" s="20">
        <v>0</v>
      </c>
      <c r="BF67" s="20">
        <f>67</f>
        <v>67</v>
      </c>
      <c r="BH67" s="20">
        <f>H67*AO67</f>
        <v>0</v>
      </c>
      <c r="BI67" s="20">
        <f>H67*AP67</f>
        <v>0</v>
      </c>
      <c r="BJ67" s="20">
        <f>H67*I67</f>
        <v>0</v>
      </c>
      <c r="BK67" s="20"/>
      <c r="BL67" s="20">
        <v>91</v>
      </c>
    </row>
    <row r="68" spans="1:64" ht="15" customHeight="1">
      <c r="A68" s="38" t="s">
        <v>223</v>
      </c>
      <c r="B68" s="1" t="s">
        <v>204</v>
      </c>
      <c r="C68" s="57" t="s">
        <v>320</v>
      </c>
      <c r="D68" s="57"/>
      <c r="E68" s="57"/>
      <c r="F68" s="57"/>
      <c r="G68" s="1" t="s">
        <v>238</v>
      </c>
      <c r="H68" s="20">
        <v>102.15</v>
      </c>
      <c r="I68" s="20">
        <v>0</v>
      </c>
      <c r="J68" s="20">
        <f>H68*AO68</f>
        <v>0</v>
      </c>
      <c r="K68" s="20">
        <f>H68*AP68</f>
        <v>0</v>
      </c>
      <c r="L68" s="20">
        <f>H68*I68</f>
        <v>0</v>
      </c>
      <c r="M68" s="54" t="s">
        <v>202</v>
      </c>
      <c r="Z68" s="20">
        <f>IF(AQ68="5",BJ68,0)</f>
        <v>0</v>
      </c>
      <c r="AB68" s="20">
        <f>IF(AQ68="1",BH68,0)</f>
        <v>0</v>
      </c>
      <c r="AC68" s="20">
        <f>IF(AQ68="1",BI68,0)</f>
        <v>0</v>
      </c>
      <c r="AD68" s="20">
        <f>IF(AQ68="7",BH68,0)</f>
        <v>0</v>
      </c>
      <c r="AE68" s="20">
        <f>IF(AQ68="7",BI68,0)</f>
        <v>0</v>
      </c>
      <c r="AF68" s="20">
        <f>IF(AQ68="2",BH68,0)</f>
        <v>0</v>
      </c>
      <c r="AG68" s="20">
        <f>IF(AQ68="2",BI68,0)</f>
        <v>0</v>
      </c>
      <c r="AH68" s="20">
        <f>IF(AQ68="0",BJ68,0)</f>
        <v>0</v>
      </c>
      <c r="AI68" s="12" t="s">
        <v>202</v>
      </c>
      <c r="AJ68" s="20">
        <f>IF(AN68=0,L68,0)</f>
        <v>0</v>
      </c>
      <c r="AK68" s="20">
        <f>IF(AN68=15,L68,0)</f>
        <v>0</v>
      </c>
      <c r="AL68" s="20">
        <f>IF(AN68=21,L68,0)</f>
        <v>0</v>
      </c>
      <c r="AN68" s="20">
        <v>21</v>
      </c>
      <c r="AO68" s="20">
        <f>I68*1</f>
        <v>0</v>
      </c>
      <c r="AP68" s="20">
        <f>I68*(1-1)</f>
        <v>0</v>
      </c>
      <c r="AQ68" s="19" t="s">
        <v>294</v>
      </c>
      <c r="AV68" s="20">
        <f>AW68+AX68</f>
        <v>0</v>
      </c>
      <c r="AW68" s="20">
        <f>H68*AO68</f>
        <v>0</v>
      </c>
      <c r="AX68" s="20">
        <f>H68*AP68</f>
        <v>0</v>
      </c>
      <c r="AY68" s="19" t="s">
        <v>281</v>
      </c>
      <c r="AZ68" s="19" t="s">
        <v>107</v>
      </c>
      <c r="BA68" s="12" t="s">
        <v>220</v>
      </c>
      <c r="BC68" s="20">
        <f>AW68+AX68</f>
        <v>0</v>
      </c>
      <c r="BD68" s="20">
        <f>I68/(100-BE68)*100</f>
        <v>0</v>
      </c>
      <c r="BE68" s="20">
        <v>0</v>
      </c>
      <c r="BF68" s="20">
        <f>68</f>
        <v>68</v>
      </c>
      <c r="BH68" s="20">
        <f>H68*AO68</f>
        <v>0</v>
      </c>
      <c r="BI68" s="20">
        <f>H68*AP68</f>
        <v>0</v>
      </c>
      <c r="BJ68" s="20">
        <f>H68*I68</f>
        <v>0</v>
      </c>
      <c r="BK68" s="20"/>
      <c r="BL68" s="20">
        <v>91</v>
      </c>
    </row>
    <row r="69" spans="1:64" ht="15" customHeight="1">
      <c r="A69" s="38" t="s">
        <v>236</v>
      </c>
      <c r="B69" s="1" t="s">
        <v>304</v>
      </c>
      <c r="C69" s="57" t="s">
        <v>28</v>
      </c>
      <c r="D69" s="57"/>
      <c r="E69" s="57"/>
      <c r="F69" s="57"/>
      <c r="G69" s="1" t="s">
        <v>238</v>
      </c>
      <c r="H69" s="20">
        <v>46.84</v>
      </c>
      <c r="I69" s="20">
        <v>0</v>
      </c>
      <c r="J69" s="20">
        <f>H69*AO69</f>
        <v>0</v>
      </c>
      <c r="K69" s="20">
        <f>H69*AP69</f>
        <v>0</v>
      </c>
      <c r="L69" s="20">
        <f>H69*I69</f>
        <v>0</v>
      </c>
      <c r="M69" s="54" t="s">
        <v>241</v>
      </c>
      <c r="Z69" s="20">
        <f>IF(AQ69="5",BJ69,0)</f>
        <v>0</v>
      </c>
      <c r="AB69" s="20">
        <f>IF(AQ69="1",BH69,0)</f>
        <v>0</v>
      </c>
      <c r="AC69" s="20">
        <f>IF(AQ69="1",BI69,0)</f>
        <v>0</v>
      </c>
      <c r="AD69" s="20">
        <f>IF(AQ69="7",BH69,0)</f>
        <v>0</v>
      </c>
      <c r="AE69" s="20">
        <f>IF(AQ69="7",BI69,0)</f>
        <v>0</v>
      </c>
      <c r="AF69" s="20">
        <f>IF(AQ69="2",BH69,0)</f>
        <v>0</v>
      </c>
      <c r="AG69" s="20">
        <f>IF(AQ69="2",BI69,0)</f>
        <v>0</v>
      </c>
      <c r="AH69" s="20">
        <f>IF(AQ69="0",BJ69,0)</f>
        <v>0</v>
      </c>
      <c r="AI69" s="12" t="s">
        <v>202</v>
      </c>
      <c r="AJ69" s="20">
        <f>IF(AN69=0,L69,0)</f>
        <v>0</v>
      </c>
      <c r="AK69" s="20">
        <f>IF(AN69=15,L69,0)</f>
        <v>0</v>
      </c>
      <c r="AL69" s="20">
        <f>IF(AN69=21,L69,0)</f>
        <v>0</v>
      </c>
      <c r="AN69" s="20">
        <v>21</v>
      </c>
      <c r="AO69" s="20">
        <f>I69*0.716718906866241</f>
        <v>0</v>
      </c>
      <c r="AP69" s="20">
        <f>I69*(1-0.716718906866241)</f>
        <v>0</v>
      </c>
      <c r="AQ69" s="19" t="s">
        <v>294</v>
      </c>
      <c r="AV69" s="20">
        <f>AW69+AX69</f>
        <v>0</v>
      </c>
      <c r="AW69" s="20">
        <f>H69*AO69</f>
        <v>0</v>
      </c>
      <c r="AX69" s="20">
        <f>H69*AP69</f>
        <v>0</v>
      </c>
      <c r="AY69" s="19" t="s">
        <v>281</v>
      </c>
      <c r="AZ69" s="19" t="s">
        <v>107</v>
      </c>
      <c r="BA69" s="12" t="s">
        <v>220</v>
      </c>
      <c r="BC69" s="20">
        <f>AW69+AX69</f>
        <v>0</v>
      </c>
      <c r="BD69" s="20">
        <f>I69/(100-BE69)*100</f>
        <v>0</v>
      </c>
      <c r="BE69" s="20">
        <v>0</v>
      </c>
      <c r="BF69" s="20">
        <f>69</f>
        <v>69</v>
      </c>
      <c r="BH69" s="20">
        <f>H69*AO69</f>
        <v>0</v>
      </c>
      <c r="BI69" s="20">
        <f>H69*AP69</f>
        <v>0</v>
      </c>
      <c r="BJ69" s="20">
        <f>H69*I69</f>
        <v>0</v>
      </c>
      <c r="BK69" s="20"/>
      <c r="BL69" s="20">
        <v>91</v>
      </c>
    </row>
    <row r="70" spans="1:47" ht="15" customHeight="1">
      <c r="A70" s="46" t="s">
        <v>202</v>
      </c>
      <c r="B70" s="13" t="s">
        <v>131</v>
      </c>
      <c r="C70" s="58" t="s">
        <v>23</v>
      </c>
      <c r="D70" s="58"/>
      <c r="E70" s="58"/>
      <c r="F70" s="58"/>
      <c r="G70" s="44" t="s">
        <v>264</v>
      </c>
      <c r="H70" s="44" t="s">
        <v>264</v>
      </c>
      <c r="I70" s="44" t="s">
        <v>264</v>
      </c>
      <c r="J70" s="27">
        <f>SUM(J71:J71)</f>
        <v>0</v>
      </c>
      <c r="K70" s="27">
        <f>SUM(K71:K71)</f>
        <v>0</v>
      </c>
      <c r="L70" s="27">
        <f>SUM(L71:L71)</f>
        <v>0</v>
      </c>
      <c r="M70" s="16" t="s">
        <v>202</v>
      </c>
      <c r="AI70" s="12" t="s">
        <v>202</v>
      </c>
      <c r="AS70" s="27">
        <f>SUM(AJ71:AJ71)</f>
        <v>0</v>
      </c>
      <c r="AT70" s="27">
        <f>SUM(AK71:AK71)</f>
        <v>0</v>
      </c>
      <c r="AU70" s="27">
        <f>SUM(AL71:AL71)</f>
        <v>0</v>
      </c>
    </row>
    <row r="71" spans="1:64" ht="15" customHeight="1">
      <c r="A71" s="38" t="s">
        <v>124</v>
      </c>
      <c r="B71" s="1" t="s">
        <v>276</v>
      </c>
      <c r="C71" s="57" t="s">
        <v>173</v>
      </c>
      <c r="D71" s="57"/>
      <c r="E71" s="57"/>
      <c r="F71" s="57"/>
      <c r="G71" s="1" t="s">
        <v>134</v>
      </c>
      <c r="H71" s="20">
        <v>37.3784</v>
      </c>
      <c r="I71" s="20">
        <v>0</v>
      </c>
      <c r="J71" s="20">
        <f>H71*AO71</f>
        <v>0</v>
      </c>
      <c r="K71" s="20">
        <f>H71*AP71</f>
        <v>0</v>
      </c>
      <c r="L71" s="20">
        <f>H71*I71</f>
        <v>0</v>
      </c>
      <c r="M71" s="54" t="s">
        <v>241</v>
      </c>
      <c r="Z71" s="20">
        <f>IF(AQ71="5",BJ71,0)</f>
        <v>0</v>
      </c>
      <c r="AB71" s="20">
        <f>IF(AQ71="1",BH71,0)</f>
        <v>0</v>
      </c>
      <c r="AC71" s="20">
        <f>IF(AQ71="1",BI71,0)</f>
        <v>0</v>
      </c>
      <c r="AD71" s="20">
        <f>IF(AQ71="7",BH71,0)</f>
        <v>0</v>
      </c>
      <c r="AE71" s="20">
        <f>IF(AQ71="7",BI71,0)</f>
        <v>0</v>
      </c>
      <c r="AF71" s="20">
        <f>IF(AQ71="2",BH71,0)</f>
        <v>0</v>
      </c>
      <c r="AG71" s="20">
        <f>IF(AQ71="2",BI71,0)</f>
        <v>0</v>
      </c>
      <c r="AH71" s="20">
        <f>IF(AQ71="0",BJ71,0)</f>
        <v>0</v>
      </c>
      <c r="AI71" s="12" t="s">
        <v>202</v>
      </c>
      <c r="AJ71" s="20">
        <f>IF(AN71=0,L71,0)</f>
        <v>0</v>
      </c>
      <c r="AK71" s="20">
        <f>IF(AN71=15,L71,0)</f>
        <v>0</v>
      </c>
      <c r="AL71" s="20">
        <f>IF(AN71=21,L71,0)</f>
        <v>0</v>
      </c>
      <c r="AN71" s="20">
        <v>21</v>
      </c>
      <c r="AO71" s="20">
        <f>I71*0</f>
        <v>0</v>
      </c>
      <c r="AP71" s="20">
        <f>I71*(1-0)</f>
        <v>0</v>
      </c>
      <c r="AQ71" s="19" t="s">
        <v>151</v>
      </c>
      <c r="AV71" s="20">
        <f>AW71+AX71</f>
        <v>0</v>
      </c>
      <c r="AW71" s="20">
        <f>H71*AO71</f>
        <v>0</v>
      </c>
      <c r="AX71" s="20">
        <f>H71*AP71</f>
        <v>0</v>
      </c>
      <c r="AY71" s="19" t="s">
        <v>222</v>
      </c>
      <c r="AZ71" s="19" t="s">
        <v>107</v>
      </c>
      <c r="BA71" s="12" t="s">
        <v>220</v>
      </c>
      <c r="BC71" s="20">
        <f>AW71+AX71</f>
        <v>0</v>
      </c>
      <c r="BD71" s="20">
        <f>I71/(100-BE71)*100</f>
        <v>0</v>
      </c>
      <c r="BE71" s="20">
        <v>0</v>
      </c>
      <c r="BF71" s="20">
        <f>71</f>
        <v>71</v>
      </c>
      <c r="BH71" s="20">
        <f>H71*AO71</f>
        <v>0</v>
      </c>
      <c r="BI71" s="20">
        <f>H71*AP71</f>
        <v>0</v>
      </c>
      <c r="BJ71" s="20">
        <f>H71*I71</f>
        <v>0</v>
      </c>
      <c r="BK71" s="20"/>
      <c r="BL71" s="20"/>
    </row>
    <row r="72" spans="1:47" ht="15" customHeight="1">
      <c r="A72" s="46" t="s">
        <v>202</v>
      </c>
      <c r="B72" s="13" t="s">
        <v>148</v>
      </c>
      <c r="C72" s="58" t="s">
        <v>169</v>
      </c>
      <c r="D72" s="58"/>
      <c r="E72" s="58"/>
      <c r="F72" s="58"/>
      <c r="G72" s="44" t="s">
        <v>264</v>
      </c>
      <c r="H72" s="44" t="s">
        <v>264</v>
      </c>
      <c r="I72" s="44" t="s">
        <v>264</v>
      </c>
      <c r="J72" s="27">
        <f>SUM(J73:J79)</f>
        <v>0</v>
      </c>
      <c r="K72" s="27">
        <f>SUM(K73:K79)</f>
        <v>0</v>
      </c>
      <c r="L72" s="27">
        <f>SUM(L73:L79)</f>
        <v>0</v>
      </c>
      <c r="M72" s="16" t="s">
        <v>202</v>
      </c>
      <c r="AI72" s="12" t="s">
        <v>202</v>
      </c>
      <c r="AS72" s="27">
        <f>SUM(AJ73:AJ79)</f>
        <v>0</v>
      </c>
      <c r="AT72" s="27">
        <f>SUM(AK73:AK79)</f>
        <v>0</v>
      </c>
      <c r="AU72" s="27">
        <f>SUM(AL73:AL79)</f>
        <v>0</v>
      </c>
    </row>
    <row r="73" spans="1:64" ht="15" customHeight="1">
      <c r="A73" s="38" t="s">
        <v>121</v>
      </c>
      <c r="B73" s="1" t="s">
        <v>79</v>
      </c>
      <c r="C73" s="57" t="s">
        <v>217</v>
      </c>
      <c r="D73" s="57"/>
      <c r="E73" s="57"/>
      <c r="F73" s="57"/>
      <c r="G73" s="1" t="s">
        <v>284</v>
      </c>
      <c r="H73" s="20">
        <v>0.5</v>
      </c>
      <c r="I73" s="20">
        <v>0</v>
      </c>
      <c r="J73" s="20">
        <f aca="true" t="shared" si="46" ref="J73:J79">H73*AO73</f>
        <v>0</v>
      </c>
      <c r="K73" s="20">
        <f aca="true" t="shared" si="47" ref="K73:K79">H73*AP73</f>
        <v>0</v>
      </c>
      <c r="L73" s="20">
        <f aca="true" t="shared" si="48" ref="L73:L79">H73*I73</f>
        <v>0</v>
      </c>
      <c r="M73" s="54" t="s">
        <v>241</v>
      </c>
      <c r="Z73" s="20">
        <f aca="true" t="shared" si="49" ref="Z73:Z79">IF(AQ73="5",BJ73,0)</f>
        <v>0</v>
      </c>
      <c r="AB73" s="20">
        <f aca="true" t="shared" si="50" ref="AB73:AB79">IF(AQ73="1",BH73,0)</f>
        <v>0</v>
      </c>
      <c r="AC73" s="20">
        <f aca="true" t="shared" si="51" ref="AC73:AC79">IF(AQ73="1",BI73,0)</f>
        <v>0</v>
      </c>
      <c r="AD73" s="20">
        <f aca="true" t="shared" si="52" ref="AD73:AD79">IF(AQ73="7",BH73,0)</f>
        <v>0</v>
      </c>
      <c r="AE73" s="20">
        <f aca="true" t="shared" si="53" ref="AE73:AE79">IF(AQ73="7",BI73,0)</f>
        <v>0</v>
      </c>
      <c r="AF73" s="20">
        <f aca="true" t="shared" si="54" ref="AF73:AF79">IF(AQ73="2",BH73,0)</f>
        <v>0</v>
      </c>
      <c r="AG73" s="20">
        <f aca="true" t="shared" si="55" ref="AG73:AG79">IF(AQ73="2",BI73,0)</f>
        <v>0</v>
      </c>
      <c r="AH73" s="20">
        <f aca="true" t="shared" si="56" ref="AH73:AH79">IF(AQ73="0",BJ73,0)</f>
        <v>0</v>
      </c>
      <c r="AI73" s="12" t="s">
        <v>202</v>
      </c>
      <c r="AJ73" s="20">
        <f aca="true" t="shared" si="57" ref="AJ73:AJ79">IF(AN73=0,L73,0)</f>
        <v>0</v>
      </c>
      <c r="AK73" s="20">
        <f aca="true" t="shared" si="58" ref="AK73:AK79">IF(AN73=15,L73,0)</f>
        <v>0</v>
      </c>
      <c r="AL73" s="20">
        <f aca="true" t="shared" si="59" ref="AL73:AL79">IF(AN73=21,L73,0)</f>
        <v>0</v>
      </c>
      <c r="AN73" s="20">
        <v>21</v>
      </c>
      <c r="AO73" s="20">
        <f>I73*0</f>
        <v>0</v>
      </c>
      <c r="AP73" s="20">
        <f>I73*(1-0)</f>
        <v>0</v>
      </c>
      <c r="AQ73" s="19" t="s">
        <v>294</v>
      </c>
      <c r="AV73" s="20">
        <f aca="true" t="shared" si="60" ref="AV73:AV79">AW73+AX73</f>
        <v>0</v>
      </c>
      <c r="AW73" s="20">
        <f aca="true" t="shared" si="61" ref="AW73:AW79">H73*AO73</f>
        <v>0</v>
      </c>
      <c r="AX73" s="20">
        <f aca="true" t="shared" si="62" ref="AX73:AX79">H73*AP73</f>
        <v>0</v>
      </c>
      <c r="AY73" s="19" t="s">
        <v>251</v>
      </c>
      <c r="AZ73" s="19" t="s">
        <v>251</v>
      </c>
      <c r="BA73" s="12" t="s">
        <v>220</v>
      </c>
      <c r="BC73" s="20">
        <f aca="true" t="shared" si="63" ref="BC73:BC79">AW73+AX73</f>
        <v>0</v>
      </c>
      <c r="BD73" s="20">
        <f aca="true" t="shared" si="64" ref="BD73:BD79">I73/(100-BE73)*100</f>
        <v>0</v>
      </c>
      <c r="BE73" s="20">
        <v>0</v>
      </c>
      <c r="BF73" s="20">
        <f>73</f>
        <v>73</v>
      </c>
      <c r="BH73" s="20">
        <f aca="true" t="shared" si="65" ref="BH73:BH79">H73*AO73</f>
        <v>0</v>
      </c>
      <c r="BI73" s="20">
        <f aca="true" t="shared" si="66" ref="BI73:BI79">H73*AP73</f>
        <v>0</v>
      </c>
      <c r="BJ73" s="20">
        <f aca="true" t="shared" si="67" ref="BJ73:BJ79">H73*I73</f>
        <v>0</v>
      </c>
      <c r="BK73" s="20"/>
      <c r="BL73" s="20">
        <v>0</v>
      </c>
    </row>
    <row r="74" spans="1:64" ht="15" customHeight="1">
      <c r="A74" s="38" t="s">
        <v>137</v>
      </c>
      <c r="B74" s="1" t="s">
        <v>277</v>
      </c>
      <c r="C74" s="57" t="s">
        <v>144</v>
      </c>
      <c r="D74" s="57"/>
      <c r="E74" s="57"/>
      <c r="F74" s="57"/>
      <c r="G74" s="1" t="s">
        <v>78</v>
      </c>
      <c r="H74" s="20">
        <v>6</v>
      </c>
      <c r="I74" s="20">
        <v>0</v>
      </c>
      <c r="J74" s="20">
        <f t="shared" si="46"/>
        <v>0</v>
      </c>
      <c r="K74" s="20">
        <f t="shared" si="47"/>
        <v>0</v>
      </c>
      <c r="L74" s="20">
        <f t="shared" si="48"/>
        <v>0</v>
      </c>
      <c r="M74" s="54" t="s">
        <v>202</v>
      </c>
      <c r="Z74" s="20">
        <f t="shared" si="49"/>
        <v>0</v>
      </c>
      <c r="AB74" s="20">
        <f t="shared" si="50"/>
        <v>0</v>
      </c>
      <c r="AC74" s="20">
        <f t="shared" si="51"/>
        <v>0</v>
      </c>
      <c r="AD74" s="20">
        <f t="shared" si="52"/>
        <v>0</v>
      </c>
      <c r="AE74" s="20">
        <f t="shared" si="53"/>
        <v>0</v>
      </c>
      <c r="AF74" s="20">
        <f t="shared" si="54"/>
        <v>0</v>
      </c>
      <c r="AG74" s="20">
        <f t="shared" si="55"/>
        <v>0</v>
      </c>
      <c r="AH74" s="20">
        <f t="shared" si="56"/>
        <v>0</v>
      </c>
      <c r="AI74" s="12" t="s">
        <v>202</v>
      </c>
      <c r="AJ74" s="20">
        <f t="shared" si="57"/>
        <v>0</v>
      </c>
      <c r="AK74" s="20">
        <f t="shared" si="58"/>
        <v>0</v>
      </c>
      <c r="AL74" s="20">
        <f t="shared" si="59"/>
        <v>0</v>
      </c>
      <c r="AN74" s="20">
        <v>21</v>
      </c>
      <c r="AO74" s="20">
        <f>I74*1</f>
        <v>0</v>
      </c>
      <c r="AP74" s="20">
        <f>I74*(1-1)</f>
        <v>0</v>
      </c>
      <c r="AQ74" s="19" t="s">
        <v>294</v>
      </c>
      <c r="AV74" s="20">
        <f t="shared" si="60"/>
        <v>0</v>
      </c>
      <c r="AW74" s="20">
        <f t="shared" si="61"/>
        <v>0</v>
      </c>
      <c r="AX74" s="20">
        <f t="shared" si="62"/>
        <v>0</v>
      </c>
      <c r="AY74" s="19" t="s">
        <v>251</v>
      </c>
      <c r="AZ74" s="19" t="s">
        <v>251</v>
      </c>
      <c r="BA74" s="12" t="s">
        <v>220</v>
      </c>
      <c r="BC74" s="20">
        <f t="shared" si="63"/>
        <v>0</v>
      </c>
      <c r="BD74" s="20">
        <f t="shared" si="64"/>
        <v>0</v>
      </c>
      <c r="BE74" s="20">
        <v>0</v>
      </c>
      <c r="BF74" s="20">
        <f>74</f>
        <v>74</v>
      </c>
      <c r="BH74" s="20">
        <f t="shared" si="65"/>
        <v>0</v>
      </c>
      <c r="BI74" s="20">
        <f t="shared" si="66"/>
        <v>0</v>
      </c>
      <c r="BJ74" s="20">
        <f t="shared" si="67"/>
        <v>0</v>
      </c>
      <c r="BK74" s="20"/>
      <c r="BL74" s="20">
        <v>0</v>
      </c>
    </row>
    <row r="75" spans="1:64" ht="15" customHeight="1">
      <c r="A75" s="38" t="s">
        <v>262</v>
      </c>
      <c r="B75" s="1" t="s">
        <v>235</v>
      </c>
      <c r="C75" s="57" t="s">
        <v>69</v>
      </c>
      <c r="D75" s="57"/>
      <c r="E75" s="57"/>
      <c r="F75" s="57"/>
      <c r="G75" s="1" t="s">
        <v>78</v>
      </c>
      <c r="H75" s="20">
        <v>5</v>
      </c>
      <c r="I75" s="20">
        <v>0</v>
      </c>
      <c r="J75" s="20">
        <f t="shared" si="46"/>
        <v>0</v>
      </c>
      <c r="K75" s="20">
        <f t="shared" si="47"/>
        <v>0</v>
      </c>
      <c r="L75" s="20">
        <f t="shared" si="48"/>
        <v>0</v>
      </c>
      <c r="M75" s="54" t="s">
        <v>202</v>
      </c>
      <c r="Z75" s="20">
        <f t="shared" si="49"/>
        <v>0</v>
      </c>
      <c r="AB75" s="20">
        <f t="shared" si="50"/>
        <v>0</v>
      </c>
      <c r="AC75" s="20">
        <f t="shared" si="51"/>
        <v>0</v>
      </c>
      <c r="AD75" s="20">
        <f t="shared" si="52"/>
        <v>0</v>
      </c>
      <c r="AE75" s="20">
        <f t="shared" si="53"/>
        <v>0</v>
      </c>
      <c r="AF75" s="20">
        <f t="shared" si="54"/>
        <v>0</v>
      </c>
      <c r="AG75" s="20">
        <f t="shared" si="55"/>
        <v>0</v>
      </c>
      <c r="AH75" s="20">
        <f t="shared" si="56"/>
        <v>0</v>
      </c>
      <c r="AI75" s="12" t="s">
        <v>202</v>
      </c>
      <c r="AJ75" s="20">
        <f t="shared" si="57"/>
        <v>0</v>
      </c>
      <c r="AK75" s="20">
        <f t="shared" si="58"/>
        <v>0</v>
      </c>
      <c r="AL75" s="20">
        <f t="shared" si="59"/>
        <v>0</v>
      </c>
      <c r="AN75" s="20">
        <v>21</v>
      </c>
      <c r="AO75" s="20">
        <f>I75*0</f>
        <v>0</v>
      </c>
      <c r="AP75" s="20">
        <f>I75*(1-0)</f>
        <v>0</v>
      </c>
      <c r="AQ75" s="19" t="s">
        <v>294</v>
      </c>
      <c r="AV75" s="20">
        <f t="shared" si="60"/>
        <v>0</v>
      </c>
      <c r="AW75" s="20">
        <f t="shared" si="61"/>
        <v>0</v>
      </c>
      <c r="AX75" s="20">
        <f t="shared" si="62"/>
        <v>0</v>
      </c>
      <c r="AY75" s="19" t="s">
        <v>251</v>
      </c>
      <c r="AZ75" s="19" t="s">
        <v>251</v>
      </c>
      <c r="BA75" s="12" t="s">
        <v>220</v>
      </c>
      <c r="BC75" s="20">
        <f t="shared" si="63"/>
        <v>0</v>
      </c>
      <c r="BD75" s="20">
        <f t="shared" si="64"/>
        <v>0</v>
      </c>
      <c r="BE75" s="20">
        <v>0</v>
      </c>
      <c r="BF75" s="20">
        <f>75</f>
        <v>75</v>
      </c>
      <c r="BH75" s="20">
        <f t="shared" si="65"/>
        <v>0</v>
      </c>
      <c r="BI75" s="20">
        <f t="shared" si="66"/>
        <v>0</v>
      </c>
      <c r="BJ75" s="20">
        <f t="shared" si="67"/>
        <v>0</v>
      </c>
      <c r="BK75" s="20"/>
      <c r="BL75" s="20">
        <v>0</v>
      </c>
    </row>
    <row r="76" spans="1:64" ht="15" customHeight="1">
      <c r="A76" s="38" t="s">
        <v>190</v>
      </c>
      <c r="B76" s="1" t="s">
        <v>165</v>
      </c>
      <c r="C76" s="57" t="s">
        <v>193</v>
      </c>
      <c r="D76" s="57"/>
      <c r="E76" s="57"/>
      <c r="F76" s="57"/>
      <c r="G76" s="1" t="s">
        <v>78</v>
      </c>
      <c r="H76" s="20">
        <v>1</v>
      </c>
      <c r="I76" s="20">
        <v>0</v>
      </c>
      <c r="J76" s="20">
        <f t="shared" si="46"/>
        <v>0</v>
      </c>
      <c r="K76" s="20">
        <f t="shared" si="47"/>
        <v>0</v>
      </c>
      <c r="L76" s="20">
        <f t="shared" si="48"/>
        <v>0</v>
      </c>
      <c r="M76" s="54" t="s">
        <v>202</v>
      </c>
      <c r="Z76" s="20">
        <f t="shared" si="49"/>
        <v>0</v>
      </c>
      <c r="AB76" s="20">
        <f t="shared" si="50"/>
        <v>0</v>
      </c>
      <c r="AC76" s="20">
        <f t="shared" si="51"/>
        <v>0</v>
      </c>
      <c r="AD76" s="20">
        <f t="shared" si="52"/>
        <v>0</v>
      </c>
      <c r="AE76" s="20">
        <f t="shared" si="53"/>
        <v>0</v>
      </c>
      <c r="AF76" s="20">
        <f t="shared" si="54"/>
        <v>0</v>
      </c>
      <c r="AG76" s="20">
        <f t="shared" si="55"/>
        <v>0</v>
      </c>
      <c r="AH76" s="20">
        <f t="shared" si="56"/>
        <v>0</v>
      </c>
      <c r="AI76" s="12" t="s">
        <v>202</v>
      </c>
      <c r="AJ76" s="20">
        <f t="shared" si="57"/>
        <v>0</v>
      </c>
      <c r="AK76" s="20">
        <f t="shared" si="58"/>
        <v>0</v>
      </c>
      <c r="AL76" s="20">
        <f t="shared" si="59"/>
        <v>0</v>
      </c>
      <c r="AN76" s="20">
        <v>21</v>
      </c>
      <c r="AO76" s="20">
        <f>I76*0</f>
        <v>0</v>
      </c>
      <c r="AP76" s="20">
        <f>I76*(1-0)</f>
        <v>0</v>
      </c>
      <c r="AQ76" s="19" t="s">
        <v>294</v>
      </c>
      <c r="AV76" s="20">
        <f t="shared" si="60"/>
        <v>0</v>
      </c>
      <c r="AW76" s="20">
        <f t="shared" si="61"/>
        <v>0</v>
      </c>
      <c r="AX76" s="20">
        <f t="shared" si="62"/>
        <v>0</v>
      </c>
      <c r="AY76" s="19" t="s">
        <v>251</v>
      </c>
      <c r="AZ76" s="19" t="s">
        <v>251</v>
      </c>
      <c r="BA76" s="12" t="s">
        <v>220</v>
      </c>
      <c r="BC76" s="20">
        <f t="shared" si="63"/>
        <v>0</v>
      </c>
      <c r="BD76" s="20">
        <f t="shared" si="64"/>
        <v>0</v>
      </c>
      <c r="BE76" s="20">
        <v>0</v>
      </c>
      <c r="BF76" s="20">
        <f>76</f>
        <v>76</v>
      </c>
      <c r="BH76" s="20">
        <f t="shared" si="65"/>
        <v>0</v>
      </c>
      <c r="BI76" s="20">
        <f t="shared" si="66"/>
        <v>0</v>
      </c>
      <c r="BJ76" s="20">
        <f t="shared" si="67"/>
        <v>0</v>
      </c>
      <c r="BK76" s="20"/>
      <c r="BL76" s="20">
        <v>0</v>
      </c>
    </row>
    <row r="77" spans="1:64" ht="15" customHeight="1">
      <c r="A77" s="38" t="s">
        <v>176</v>
      </c>
      <c r="B77" s="1" t="s">
        <v>138</v>
      </c>
      <c r="C77" s="57" t="s">
        <v>157</v>
      </c>
      <c r="D77" s="57"/>
      <c r="E77" s="57"/>
      <c r="F77" s="57"/>
      <c r="G77" s="1" t="s">
        <v>78</v>
      </c>
      <c r="H77" s="20">
        <v>2</v>
      </c>
      <c r="I77" s="20">
        <v>0</v>
      </c>
      <c r="J77" s="20">
        <f t="shared" si="46"/>
        <v>0</v>
      </c>
      <c r="K77" s="20">
        <f t="shared" si="47"/>
        <v>0</v>
      </c>
      <c r="L77" s="20">
        <f t="shared" si="48"/>
        <v>0</v>
      </c>
      <c r="M77" s="54" t="s">
        <v>202</v>
      </c>
      <c r="Z77" s="20">
        <f t="shared" si="49"/>
        <v>0</v>
      </c>
      <c r="AB77" s="20">
        <f t="shared" si="50"/>
        <v>0</v>
      </c>
      <c r="AC77" s="20">
        <f t="shared" si="51"/>
        <v>0</v>
      </c>
      <c r="AD77" s="20">
        <f t="shared" si="52"/>
        <v>0</v>
      </c>
      <c r="AE77" s="20">
        <f t="shared" si="53"/>
        <v>0</v>
      </c>
      <c r="AF77" s="20">
        <f t="shared" si="54"/>
        <v>0</v>
      </c>
      <c r="AG77" s="20">
        <f t="shared" si="55"/>
        <v>0</v>
      </c>
      <c r="AH77" s="20">
        <f t="shared" si="56"/>
        <v>0</v>
      </c>
      <c r="AI77" s="12" t="s">
        <v>202</v>
      </c>
      <c r="AJ77" s="20">
        <f t="shared" si="57"/>
        <v>0</v>
      </c>
      <c r="AK77" s="20">
        <f t="shared" si="58"/>
        <v>0</v>
      </c>
      <c r="AL77" s="20">
        <f t="shared" si="59"/>
        <v>0</v>
      </c>
      <c r="AN77" s="20">
        <v>21</v>
      </c>
      <c r="AO77" s="20">
        <f>I77*0</f>
        <v>0</v>
      </c>
      <c r="AP77" s="20">
        <f>I77*(1-0)</f>
        <v>0</v>
      </c>
      <c r="AQ77" s="19" t="s">
        <v>294</v>
      </c>
      <c r="AV77" s="20">
        <f t="shared" si="60"/>
        <v>0</v>
      </c>
      <c r="AW77" s="20">
        <f t="shared" si="61"/>
        <v>0</v>
      </c>
      <c r="AX77" s="20">
        <f t="shared" si="62"/>
        <v>0</v>
      </c>
      <c r="AY77" s="19" t="s">
        <v>251</v>
      </c>
      <c r="AZ77" s="19" t="s">
        <v>251</v>
      </c>
      <c r="BA77" s="12" t="s">
        <v>220</v>
      </c>
      <c r="BC77" s="20">
        <f t="shared" si="63"/>
        <v>0</v>
      </c>
      <c r="BD77" s="20">
        <f t="shared" si="64"/>
        <v>0</v>
      </c>
      <c r="BE77" s="20">
        <v>0</v>
      </c>
      <c r="BF77" s="20">
        <f>77</f>
        <v>77</v>
      </c>
      <c r="BH77" s="20">
        <f t="shared" si="65"/>
        <v>0</v>
      </c>
      <c r="BI77" s="20">
        <f t="shared" si="66"/>
        <v>0</v>
      </c>
      <c r="BJ77" s="20">
        <f t="shared" si="67"/>
        <v>0</v>
      </c>
      <c r="BK77" s="20"/>
      <c r="BL77" s="20">
        <v>0</v>
      </c>
    </row>
    <row r="78" spans="1:64" ht="15" customHeight="1">
      <c r="A78" s="38" t="s">
        <v>271</v>
      </c>
      <c r="B78" s="1" t="s">
        <v>315</v>
      </c>
      <c r="C78" s="57" t="s">
        <v>58</v>
      </c>
      <c r="D78" s="57"/>
      <c r="E78" s="57"/>
      <c r="F78" s="57"/>
      <c r="G78" s="1" t="s">
        <v>78</v>
      </c>
      <c r="H78" s="20">
        <v>2</v>
      </c>
      <c r="I78" s="20">
        <v>0</v>
      </c>
      <c r="J78" s="20">
        <f t="shared" si="46"/>
        <v>0</v>
      </c>
      <c r="K78" s="20">
        <f t="shared" si="47"/>
        <v>0</v>
      </c>
      <c r="L78" s="20">
        <f t="shared" si="48"/>
        <v>0</v>
      </c>
      <c r="M78" s="54" t="s">
        <v>202</v>
      </c>
      <c r="Z78" s="20">
        <f t="shared" si="49"/>
        <v>0</v>
      </c>
      <c r="AB78" s="20">
        <f t="shared" si="50"/>
        <v>0</v>
      </c>
      <c r="AC78" s="20">
        <f t="shared" si="51"/>
        <v>0</v>
      </c>
      <c r="AD78" s="20">
        <f t="shared" si="52"/>
        <v>0</v>
      </c>
      <c r="AE78" s="20">
        <f t="shared" si="53"/>
        <v>0</v>
      </c>
      <c r="AF78" s="20">
        <f t="shared" si="54"/>
        <v>0</v>
      </c>
      <c r="AG78" s="20">
        <f t="shared" si="55"/>
        <v>0</v>
      </c>
      <c r="AH78" s="20">
        <f t="shared" si="56"/>
        <v>0</v>
      </c>
      <c r="AI78" s="12" t="s">
        <v>202</v>
      </c>
      <c r="AJ78" s="20">
        <f t="shared" si="57"/>
        <v>0</v>
      </c>
      <c r="AK78" s="20">
        <f t="shared" si="58"/>
        <v>0</v>
      </c>
      <c r="AL78" s="20">
        <f t="shared" si="59"/>
        <v>0</v>
      </c>
      <c r="AN78" s="20">
        <v>21</v>
      </c>
      <c r="AO78" s="20">
        <f>I78*0</f>
        <v>0</v>
      </c>
      <c r="AP78" s="20">
        <f>I78*(1-0)</f>
        <v>0</v>
      </c>
      <c r="AQ78" s="19" t="s">
        <v>294</v>
      </c>
      <c r="AV78" s="20">
        <f t="shared" si="60"/>
        <v>0</v>
      </c>
      <c r="AW78" s="20">
        <f t="shared" si="61"/>
        <v>0</v>
      </c>
      <c r="AX78" s="20">
        <f t="shared" si="62"/>
        <v>0</v>
      </c>
      <c r="AY78" s="19" t="s">
        <v>251</v>
      </c>
      <c r="AZ78" s="19" t="s">
        <v>251</v>
      </c>
      <c r="BA78" s="12" t="s">
        <v>220</v>
      </c>
      <c r="BC78" s="20">
        <f t="shared" si="63"/>
        <v>0</v>
      </c>
      <c r="BD78" s="20">
        <f t="shared" si="64"/>
        <v>0</v>
      </c>
      <c r="BE78" s="20">
        <v>0</v>
      </c>
      <c r="BF78" s="20">
        <f>78</f>
        <v>78</v>
      </c>
      <c r="BH78" s="20">
        <f t="shared" si="65"/>
        <v>0</v>
      </c>
      <c r="BI78" s="20">
        <f t="shared" si="66"/>
        <v>0</v>
      </c>
      <c r="BJ78" s="20">
        <f t="shared" si="67"/>
        <v>0</v>
      </c>
      <c r="BK78" s="20"/>
      <c r="BL78" s="20">
        <v>0</v>
      </c>
    </row>
    <row r="79" spans="1:64" ht="15" customHeight="1">
      <c r="A79" s="38" t="s">
        <v>159</v>
      </c>
      <c r="B79" s="1" t="s">
        <v>309</v>
      </c>
      <c r="C79" s="57" t="s">
        <v>289</v>
      </c>
      <c r="D79" s="57"/>
      <c r="E79" s="57"/>
      <c r="F79" s="57"/>
      <c r="G79" s="1" t="s">
        <v>102</v>
      </c>
      <c r="H79" s="20">
        <v>1</v>
      </c>
      <c r="I79" s="20">
        <v>0</v>
      </c>
      <c r="J79" s="20">
        <f t="shared" si="46"/>
        <v>0</v>
      </c>
      <c r="K79" s="20">
        <f t="shared" si="47"/>
        <v>0</v>
      </c>
      <c r="L79" s="20">
        <f t="shared" si="48"/>
        <v>0</v>
      </c>
      <c r="M79" s="54" t="s">
        <v>202</v>
      </c>
      <c r="Z79" s="20">
        <f t="shared" si="49"/>
        <v>0</v>
      </c>
      <c r="AB79" s="20">
        <f t="shared" si="50"/>
        <v>0</v>
      </c>
      <c r="AC79" s="20">
        <f t="shared" si="51"/>
        <v>0</v>
      </c>
      <c r="AD79" s="20">
        <f t="shared" si="52"/>
        <v>0</v>
      </c>
      <c r="AE79" s="20">
        <f t="shared" si="53"/>
        <v>0</v>
      </c>
      <c r="AF79" s="20">
        <f t="shared" si="54"/>
        <v>0</v>
      </c>
      <c r="AG79" s="20">
        <f t="shared" si="55"/>
        <v>0</v>
      </c>
      <c r="AH79" s="20">
        <f t="shared" si="56"/>
        <v>0</v>
      </c>
      <c r="AI79" s="12" t="s">
        <v>202</v>
      </c>
      <c r="AJ79" s="20">
        <f t="shared" si="57"/>
        <v>0</v>
      </c>
      <c r="AK79" s="20">
        <f t="shared" si="58"/>
        <v>0</v>
      </c>
      <c r="AL79" s="20">
        <f t="shared" si="59"/>
        <v>0</v>
      </c>
      <c r="AN79" s="20">
        <v>21</v>
      </c>
      <c r="AO79" s="20">
        <f>I79*0</f>
        <v>0</v>
      </c>
      <c r="AP79" s="20">
        <f>I79*(1-0)</f>
        <v>0</v>
      </c>
      <c r="AQ79" s="19" t="s">
        <v>294</v>
      </c>
      <c r="AV79" s="20">
        <f t="shared" si="60"/>
        <v>0</v>
      </c>
      <c r="AW79" s="20">
        <f t="shared" si="61"/>
        <v>0</v>
      </c>
      <c r="AX79" s="20">
        <f t="shared" si="62"/>
        <v>0</v>
      </c>
      <c r="AY79" s="19" t="s">
        <v>251</v>
      </c>
      <c r="AZ79" s="19" t="s">
        <v>251</v>
      </c>
      <c r="BA79" s="12" t="s">
        <v>220</v>
      </c>
      <c r="BC79" s="20">
        <f t="shared" si="63"/>
        <v>0</v>
      </c>
      <c r="BD79" s="20">
        <f t="shared" si="64"/>
        <v>0</v>
      </c>
      <c r="BE79" s="20">
        <v>0</v>
      </c>
      <c r="BF79" s="20">
        <f>79</f>
        <v>79</v>
      </c>
      <c r="BH79" s="20">
        <f t="shared" si="65"/>
        <v>0</v>
      </c>
      <c r="BI79" s="20">
        <f t="shared" si="66"/>
        <v>0</v>
      </c>
      <c r="BJ79" s="20">
        <f t="shared" si="67"/>
        <v>0</v>
      </c>
      <c r="BK79" s="20"/>
      <c r="BL79" s="20">
        <v>0</v>
      </c>
    </row>
    <row r="80" spans="1:47" ht="15" customHeight="1">
      <c r="A80" s="46" t="s">
        <v>202</v>
      </c>
      <c r="B80" s="13" t="s">
        <v>98</v>
      </c>
      <c r="C80" s="58" t="s">
        <v>125</v>
      </c>
      <c r="D80" s="58"/>
      <c r="E80" s="58"/>
      <c r="F80" s="58"/>
      <c r="G80" s="44" t="s">
        <v>264</v>
      </c>
      <c r="H80" s="44" t="s">
        <v>264</v>
      </c>
      <c r="I80" s="44" t="s">
        <v>264</v>
      </c>
      <c r="J80" s="27">
        <f>SUM(J81:J83)</f>
        <v>0</v>
      </c>
      <c r="K80" s="27">
        <f>SUM(K81:K83)</f>
        <v>0</v>
      </c>
      <c r="L80" s="27">
        <f>SUM(L81:L83)</f>
        <v>0</v>
      </c>
      <c r="M80" s="16" t="s">
        <v>202</v>
      </c>
      <c r="AI80" s="12" t="s">
        <v>202</v>
      </c>
      <c r="AS80" s="27">
        <f>SUM(AJ81:AJ83)</f>
        <v>0</v>
      </c>
      <c r="AT80" s="27">
        <f>SUM(AK81:AK83)</f>
        <v>0</v>
      </c>
      <c r="AU80" s="27">
        <f>SUM(AL81:AL83)</f>
        <v>0</v>
      </c>
    </row>
    <row r="81" spans="1:64" ht="15" customHeight="1">
      <c r="A81" s="38" t="s">
        <v>132</v>
      </c>
      <c r="B81" s="1" t="s">
        <v>218</v>
      </c>
      <c r="C81" s="57" t="s">
        <v>116</v>
      </c>
      <c r="D81" s="57"/>
      <c r="E81" s="57"/>
      <c r="F81" s="57"/>
      <c r="G81" s="1" t="s">
        <v>134</v>
      </c>
      <c r="H81" s="20">
        <v>30.477</v>
      </c>
      <c r="I81" s="20">
        <v>0</v>
      </c>
      <c r="J81" s="20">
        <f>H81*AO81</f>
        <v>0</v>
      </c>
      <c r="K81" s="20">
        <f>H81*AP81</f>
        <v>0</v>
      </c>
      <c r="L81" s="20">
        <f>H81*I81</f>
        <v>0</v>
      </c>
      <c r="M81" s="54" t="s">
        <v>241</v>
      </c>
      <c r="Z81" s="20">
        <f>IF(AQ81="5",BJ81,0)</f>
        <v>0</v>
      </c>
      <c r="AB81" s="20">
        <f>IF(AQ81="1",BH81,0)</f>
        <v>0</v>
      </c>
      <c r="AC81" s="20">
        <f>IF(AQ81="1",BI81,0)</f>
        <v>0</v>
      </c>
      <c r="AD81" s="20">
        <f>IF(AQ81="7",BH81,0)</f>
        <v>0</v>
      </c>
      <c r="AE81" s="20">
        <f>IF(AQ81="7",BI81,0)</f>
        <v>0</v>
      </c>
      <c r="AF81" s="20">
        <f>IF(AQ81="2",BH81,0)</f>
        <v>0</v>
      </c>
      <c r="AG81" s="20">
        <f>IF(AQ81="2",BI81,0)</f>
        <v>0</v>
      </c>
      <c r="AH81" s="20">
        <f>IF(AQ81="0",BJ81,0)</f>
        <v>0</v>
      </c>
      <c r="AI81" s="12" t="s">
        <v>202</v>
      </c>
      <c r="AJ81" s="20">
        <f>IF(AN81=0,L81,0)</f>
        <v>0</v>
      </c>
      <c r="AK81" s="20">
        <f>IF(AN81=15,L81,0)</f>
        <v>0</v>
      </c>
      <c r="AL81" s="20">
        <f>IF(AN81=21,L81,0)</f>
        <v>0</v>
      </c>
      <c r="AN81" s="20">
        <v>21</v>
      </c>
      <c r="AO81" s="20">
        <f>I81*0</f>
        <v>0</v>
      </c>
      <c r="AP81" s="20">
        <f>I81*(1-0)</f>
        <v>0</v>
      </c>
      <c r="AQ81" s="19" t="s">
        <v>151</v>
      </c>
      <c r="AV81" s="20">
        <f>AW81+AX81</f>
        <v>0</v>
      </c>
      <c r="AW81" s="20">
        <f>H81*AO81</f>
        <v>0</v>
      </c>
      <c r="AX81" s="20">
        <f>H81*AP81</f>
        <v>0</v>
      </c>
      <c r="AY81" s="19" t="s">
        <v>120</v>
      </c>
      <c r="AZ81" s="19" t="s">
        <v>107</v>
      </c>
      <c r="BA81" s="12" t="s">
        <v>220</v>
      </c>
      <c r="BC81" s="20">
        <f>AW81+AX81</f>
        <v>0</v>
      </c>
      <c r="BD81" s="20">
        <f>I81/(100-BE81)*100</f>
        <v>0</v>
      </c>
      <c r="BE81" s="20">
        <v>0</v>
      </c>
      <c r="BF81" s="20">
        <f>81</f>
        <v>81</v>
      </c>
      <c r="BH81" s="20">
        <f>H81*AO81</f>
        <v>0</v>
      </c>
      <c r="BI81" s="20">
        <f>H81*AP81</f>
        <v>0</v>
      </c>
      <c r="BJ81" s="20">
        <f>H81*I81</f>
        <v>0</v>
      </c>
      <c r="BK81" s="20"/>
      <c r="BL81" s="20"/>
    </row>
    <row r="82" spans="1:64" ht="15" customHeight="1">
      <c r="A82" s="38" t="s">
        <v>42</v>
      </c>
      <c r="B82" s="1" t="s">
        <v>188</v>
      </c>
      <c r="C82" s="57" t="s">
        <v>128</v>
      </c>
      <c r="D82" s="57"/>
      <c r="E82" s="57"/>
      <c r="F82" s="57"/>
      <c r="G82" s="1" t="s">
        <v>134</v>
      </c>
      <c r="H82" s="20">
        <v>170.6712</v>
      </c>
      <c r="I82" s="20">
        <v>0</v>
      </c>
      <c r="J82" s="20">
        <f>H82*AO82</f>
        <v>0</v>
      </c>
      <c r="K82" s="20">
        <f>H82*AP82</f>
        <v>0</v>
      </c>
      <c r="L82" s="20">
        <f>H82*I82</f>
        <v>0</v>
      </c>
      <c r="M82" s="54" t="s">
        <v>241</v>
      </c>
      <c r="Z82" s="20">
        <f>IF(AQ82="5",BJ82,0)</f>
        <v>0</v>
      </c>
      <c r="AB82" s="20">
        <f>IF(AQ82="1",BH82,0)</f>
        <v>0</v>
      </c>
      <c r="AC82" s="20">
        <f>IF(AQ82="1",BI82,0)</f>
        <v>0</v>
      </c>
      <c r="AD82" s="20">
        <f>IF(AQ82="7",BH82,0)</f>
        <v>0</v>
      </c>
      <c r="AE82" s="20">
        <f>IF(AQ82="7",BI82,0)</f>
        <v>0</v>
      </c>
      <c r="AF82" s="20">
        <f>IF(AQ82="2",BH82,0)</f>
        <v>0</v>
      </c>
      <c r="AG82" s="20">
        <f>IF(AQ82="2",BI82,0)</f>
        <v>0</v>
      </c>
      <c r="AH82" s="20">
        <f>IF(AQ82="0",BJ82,0)</f>
        <v>0</v>
      </c>
      <c r="AI82" s="12" t="s">
        <v>202</v>
      </c>
      <c r="AJ82" s="20">
        <f>IF(AN82=0,L82,0)</f>
        <v>0</v>
      </c>
      <c r="AK82" s="20">
        <f>IF(AN82=15,L82,0)</f>
        <v>0</v>
      </c>
      <c r="AL82" s="20">
        <f>IF(AN82=21,L82,0)</f>
        <v>0</v>
      </c>
      <c r="AN82" s="20">
        <v>21</v>
      </c>
      <c r="AO82" s="20">
        <f>I82*0</f>
        <v>0</v>
      </c>
      <c r="AP82" s="20">
        <f>I82*(1-0)</f>
        <v>0</v>
      </c>
      <c r="AQ82" s="19" t="s">
        <v>151</v>
      </c>
      <c r="AV82" s="20">
        <f>AW82+AX82</f>
        <v>0</v>
      </c>
      <c r="AW82" s="20">
        <f>H82*AO82</f>
        <v>0</v>
      </c>
      <c r="AX82" s="20">
        <f>H82*AP82</f>
        <v>0</v>
      </c>
      <c r="AY82" s="19" t="s">
        <v>120</v>
      </c>
      <c r="AZ82" s="19" t="s">
        <v>107</v>
      </c>
      <c r="BA82" s="12" t="s">
        <v>220</v>
      </c>
      <c r="BC82" s="20">
        <f>AW82+AX82</f>
        <v>0</v>
      </c>
      <c r="BD82" s="20">
        <f>I82/(100-BE82)*100</f>
        <v>0</v>
      </c>
      <c r="BE82" s="20">
        <v>0</v>
      </c>
      <c r="BF82" s="20">
        <f>82</f>
        <v>82</v>
      </c>
      <c r="BH82" s="20">
        <f>H82*AO82</f>
        <v>0</v>
      </c>
      <c r="BI82" s="20">
        <f>H82*AP82</f>
        <v>0</v>
      </c>
      <c r="BJ82" s="20">
        <f>H82*I82</f>
        <v>0</v>
      </c>
      <c r="BK82" s="20"/>
      <c r="BL82" s="20"/>
    </row>
    <row r="83" spans="1:64" ht="15" customHeight="1">
      <c r="A83" s="38" t="s">
        <v>208</v>
      </c>
      <c r="B83" s="1" t="s">
        <v>177</v>
      </c>
      <c r="C83" s="57" t="s">
        <v>83</v>
      </c>
      <c r="D83" s="57"/>
      <c r="E83" s="57"/>
      <c r="F83" s="57"/>
      <c r="G83" s="1" t="s">
        <v>134</v>
      </c>
      <c r="H83" s="20">
        <v>30.477</v>
      </c>
      <c r="I83" s="20">
        <v>0</v>
      </c>
      <c r="J83" s="20">
        <f>H83*AO83</f>
        <v>0</v>
      </c>
      <c r="K83" s="20">
        <f>H83*AP83</f>
        <v>0</v>
      </c>
      <c r="L83" s="20">
        <f>H83*I83</f>
        <v>0</v>
      </c>
      <c r="M83" s="54" t="s">
        <v>241</v>
      </c>
      <c r="Z83" s="20">
        <f>IF(AQ83="5",BJ83,0)</f>
        <v>0</v>
      </c>
      <c r="AB83" s="20">
        <f>IF(AQ83="1",BH83,0)</f>
        <v>0</v>
      </c>
      <c r="AC83" s="20">
        <f>IF(AQ83="1",BI83,0)</f>
        <v>0</v>
      </c>
      <c r="AD83" s="20">
        <f>IF(AQ83="7",BH83,0)</f>
        <v>0</v>
      </c>
      <c r="AE83" s="20">
        <f>IF(AQ83="7",BI83,0)</f>
        <v>0</v>
      </c>
      <c r="AF83" s="20">
        <f>IF(AQ83="2",BH83,0)</f>
        <v>0</v>
      </c>
      <c r="AG83" s="20">
        <f>IF(AQ83="2",BI83,0)</f>
        <v>0</v>
      </c>
      <c r="AH83" s="20">
        <f>IF(AQ83="0",BJ83,0)</f>
        <v>0</v>
      </c>
      <c r="AI83" s="12" t="s">
        <v>202</v>
      </c>
      <c r="AJ83" s="20">
        <f>IF(AN83=0,L83,0)</f>
        <v>0</v>
      </c>
      <c r="AK83" s="20">
        <f>IF(AN83=15,L83,0)</f>
        <v>0</v>
      </c>
      <c r="AL83" s="20">
        <f>IF(AN83=21,L83,0)</f>
        <v>0</v>
      </c>
      <c r="AN83" s="20">
        <v>21</v>
      </c>
      <c r="AO83" s="20">
        <f>I83*0</f>
        <v>0</v>
      </c>
      <c r="AP83" s="20">
        <f>I83*(1-0)</f>
        <v>0</v>
      </c>
      <c r="AQ83" s="19" t="s">
        <v>294</v>
      </c>
      <c r="AV83" s="20">
        <f>AW83+AX83</f>
        <v>0</v>
      </c>
      <c r="AW83" s="20">
        <f>H83*AO83</f>
        <v>0</v>
      </c>
      <c r="AX83" s="20">
        <f>H83*AP83</f>
        <v>0</v>
      </c>
      <c r="AY83" s="19" t="s">
        <v>120</v>
      </c>
      <c r="AZ83" s="19" t="s">
        <v>107</v>
      </c>
      <c r="BA83" s="12" t="s">
        <v>220</v>
      </c>
      <c r="BC83" s="20">
        <f>AW83+AX83</f>
        <v>0</v>
      </c>
      <c r="BD83" s="20">
        <f>I83/(100-BE83)*100</f>
        <v>0</v>
      </c>
      <c r="BE83" s="20">
        <v>0</v>
      </c>
      <c r="BF83" s="20">
        <f>83</f>
        <v>83</v>
      </c>
      <c r="BH83" s="20">
        <f>H83*AO83</f>
        <v>0</v>
      </c>
      <c r="BI83" s="20">
        <f>H83*AP83</f>
        <v>0</v>
      </c>
      <c r="BJ83" s="20">
        <f>H83*I83</f>
        <v>0</v>
      </c>
      <c r="BK83" s="20"/>
      <c r="BL83" s="20"/>
    </row>
    <row r="84" spans="1:47" ht="15" customHeight="1">
      <c r="A84" s="46" t="s">
        <v>202</v>
      </c>
      <c r="B84" s="13" t="s">
        <v>202</v>
      </c>
      <c r="C84" s="58" t="s">
        <v>20</v>
      </c>
      <c r="D84" s="58"/>
      <c r="E84" s="58"/>
      <c r="F84" s="58"/>
      <c r="G84" s="44" t="s">
        <v>264</v>
      </c>
      <c r="H84" s="44" t="s">
        <v>264</v>
      </c>
      <c r="I84" s="44" t="s">
        <v>264</v>
      </c>
      <c r="J84" s="27">
        <f>SUM(J85:J85)</f>
        <v>0</v>
      </c>
      <c r="K84" s="27">
        <f>SUM(K85:K85)</f>
        <v>0</v>
      </c>
      <c r="L84" s="27">
        <f>SUM(L85:L85)</f>
        <v>0</v>
      </c>
      <c r="M84" s="16" t="s">
        <v>202</v>
      </c>
      <c r="AI84" s="12" t="s">
        <v>202</v>
      </c>
      <c r="AS84" s="27">
        <f>SUM(AJ85:AJ85)</f>
        <v>0</v>
      </c>
      <c r="AT84" s="27">
        <f>SUM(AK85:AK85)</f>
        <v>0</v>
      </c>
      <c r="AU84" s="27">
        <f>SUM(AL85:AL85)</f>
        <v>0</v>
      </c>
    </row>
    <row r="85" spans="1:64" ht="15" customHeight="1">
      <c r="A85" s="36" t="s">
        <v>318</v>
      </c>
      <c r="B85" s="2" t="s">
        <v>112</v>
      </c>
      <c r="C85" s="59" t="s">
        <v>175</v>
      </c>
      <c r="D85" s="59"/>
      <c r="E85" s="59"/>
      <c r="F85" s="59"/>
      <c r="G85" s="2" t="s">
        <v>278</v>
      </c>
      <c r="H85" s="31">
        <v>2.152</v>
      </c>
      <c r="I85" s="31">
        <v>0</v>
      </c>
      <c r="J85" s="31">
        <f>H85*AO85</f>
        <v>0</v>
      </c>
      <c r="K85" s="31">
        <f>H85*AP85</f>
        <v>0</v>
      </c>
      <c r="L85" s="31">
        <f>H85*I85</f>
        <v>0</v>
      </c>
      <c r="M85" s="40" t="s">
        <v>241</v>
      </c>
      <c r="Z85" s="20">
        <f>IF(AQ85="5",BJ85,0)</f>
        <v>0</v>
      </c>
      <c r="AB85" s="20">
        <f>IF(AQ85="1",BH85,0)</f>
        <v>0</v>
      </c>
      <c r="AC85" s="20">
        <f>IF(AQ85="1",BI85,0)</f>
        <v>0</v>
      </c>
      <c r="AD85" s="20">
        <f>IF(AQ85="7",BH85,0)</f>
        <v>0</v>
      </c>
      <c r="AE85" s="20">
        <f>IF(AQ85="7",BI85,0)</f>
        <v>0</v>
      </c>
      <c r="AF85" s="20">
        <f>IF(AQ85="2",BH85,0)</f>
        <v>0</v>
      </c>
      <c r="AG85" s="20">
        <f>IF(AQ85="2",BI85,0)</f>
        <v>0</v>
      </c>
      <c r="AH85" s="20">
        <f>IF(AQ85="0",BJ85,0)</f>
        <v>0</v>
      </c>
      <c r="AI85" s="12" t="s">
        <v>202</v>
      </c>
      <c r="AJ85" s="20">
        <f>IF(AN85=0,L85,0)</f>
        <v>0</v>
      </c>
      <c r="AK85" s="20">
        <f>IF(AN85=15,L85,0)</f>
        <v>0</v>
      </c>
      <c r="AL85" s="20">
        <f>IF(AN85=21,L85,0)</f>
        <v>0</v>
      </c>
      <c r="AN85" s="20">
        <v>21</v>
      </c>
      <c r="AO85" s="20">
        <f>I85*1</f>
        <v>0</v>
      </c>
      <c r="AP85" s="20">
        <f>I85*(1-1)</f>
        <v>0</v>
      </c>
      <c r="AQ85" s="19" t="s">
        <v>148</v>
      </c>
      <c r="AV85" s="20">
        <f>AW85+AX85</f>
        <v>0</v>
      </c>
      <c r="AW85" s="20">
        <f>H85*AO85</f>
        <v>0</v>
      </c>
      <c r="AX85" s="20">
        <f>H85*AP85</f>
        <v>0</v>
      </c>
      <c r="AY85" s="19" t="s">
        <v>67</v>
      </c>
      <c r="AZ85" s="19" t="s">
        <v>263</v>
      </c>
      <c r="BA85" s="12" t="s">
        <v>220</v>
      </c>
      <c r="BC85" s="20">
        <f>AW85+AX85</f>
        <v>0</v>
      </c>
      <c r="BD85" s="20">
        <f>I85/(100-BE85)*100</f>
        <v>0</v>
      </c>
      <c r="BE85" s="20">
        <v>0</v>
      </c>
      <c r="BF85" s="20">
        <f>85</f>
        <v>85</v>
      </c>
      <c r="BH85" s="20">
        <f>H85*AO85</f>
        <v>0</v>
      </c>
      <c r="BI85" s="20">
        <f>H85*AP85</f>
        <v>0</v>
      </c>
      <c r="BJ85" s="20">
        <f>H85*I85</f>
        <v>0</v>
      </c>
      <c r="BK85" s="20"/>
      <c r="BL85" s="20"/>
    </row>
    <row r="86" spans="10:12" ht="15" customHeight="1">
      <c r="J86" s="60" t="s">
        <v>228</v>
      </c>
      <c r="K86" s="60"/>
      <c r="L86" s="24">
        <f>L12+L15+L22+L25+L56+L58+L63+L66+L70+L72+L80+L84</f>
        <v>0</v>
      </c>
    </row>
    <row r="87" ht="15" customHeight="1">
      <c r="A87" s="33" t="s">
        <v>29</v>
      </c>
    </row>
    <row r="88" spans="1:13" ht="12.75" customHeight="1">
      <c r="A88" s="61" t="s">
        <v>202</v>
      </c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</row>
  </sheetData>
  <sheetProtection/>
  <mergeCells count="104">
    <mergeCell ref="A1:M1"/>
    <mergeCell ref="A2:B3"/>
    <mergeCell ref="A4:B5"/>
    <mergeCell ref="A6:B7"/>
    <mergeCell ref="A8:B9"/>
    <mergeCell ref="E2:F3"/>
    <mergeCell ref="E4:F5"/>
    <mergeCell ref="E6:F7"/>
    <mergeCell ref="E8:F9"/>
    <mergeCell ref="I2:I3"/>
    <mergeCell ref="C4:D5"/>
    <mergeCell ref="C6:D7"/>
    <mergeCell ref="C8:D9"/>
    <mergeCell ref="G2:H3"/>
    <mergeCell ref="G4:H5"/>
    <mergeCell ref="G6:H7"/>
    <mergeCell ref="G8:H9"/>
    <mergeCell ref="J2:M3"/>
    <mergeCell ref="J4:M5"/>
    <mergeCell ref="J6:M7"/>
    <mergeCell ref="J8:M9"/>
    <mergeCell ref="C10:F10"/>
    <mergeCell ref="I4:I5"/>
    <mergeCell ref="I6:I7"/>
    <mergeCell ref="I8:I9"/>
    <mergeCell ref="C2:D3"/>
    <mergeCell ref="C11:F11"/>
    <mergeCell ref="J10:L10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C40:F40"/>
    <mergeCell ref="C41:F41"/>
    <mergeCell ref="C42:F42"/>
    <mergeCell ref="C43:F43"/>
    <mergeCell ref="C44:F44"/>
    <mergeCell ref="C45:F45"/>
    <mergeCell ref="C46:F46"/>
    <mergeCell ref="C47:F47"/>
    <mergeCell ref="C48:F48"/>
    <mergeCell ref="C49:F49"/>
    <mergeCell ref="C50:F50"/>
    <mergeCell ref="C51:F51"/>
    <mergeCell ref="C52:F52"/>
    <mergeCell ref="C53:F53"/>
    <mergeCell ref="C54:F54"/>
    <mergeCell ref="C55:F55"/>
    <mergeCell ref="C56:F56"/>
    <mergeCell ref="C57:F57"/>
    <mergeCell ref="C58:F58"/>
    <mergeCell ref="C59:F59"/>
    <mergeCell ref="C60:F60"/>
    <mergeCell ref="C61:F61"/>
    <mergeCell ref="C62:F62"/>
    <mergeCell ref="C63:F63"/>
    <mergeCell ref="C64:F64"/>
    <mergeCell ref="C65:F65"/>
    <mergeCell ref="C66:F66"/>
    <mergeCell ref="C67:F67"/>
    <mergeCell ref="C68:F68"/>
    <mergeCell ref="C69:F69"/>
    <mergeCell ref="C70:F70"/>
    <mergeCell ref="C71:F71"/>
    <mergeCell ref="C72:F72"/>
    <mergeCell ref="C73:F73"/>
    <mergeCell ref="C74:F74"/>
    <mergeCell ref="C75:F75"/>
    <mergeCell ref="C76:F76"/>
    <mergeCell ref="C77:F77"/>
    <mergeCell ref="C78:F78"/>
    <mergeCell ref="C79:F79"/>
    <mergeCell ref="C80:F80"/>
    <mergeCell ref="C81:F81"/>
    <mergeCell ref="C82:F82"/>
    <mergeCell ref="C83:F83"/>
    <mergeCell ref="C84:F84"/>
    <mergeCell ref="C85:F85"/>
    <mergeCell ref="J86:K86"/>
    <mergeCell ref="A88:M88"/>
  </mergeCells>
  <printOptions/>
  <pageMargins left="0.394" right="0.394" top="0.591" bottom="0.591" header="0" footer="0"/>
  <pageSetup firstPageNumber="0" useFirstPageNumber="1" fitToHeight="0" fitToWidth="1"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showOutlineSymbols="0" zoomScalePageLayoutView="0" workbookViewId="0" topLeftCell="A1">
      <pane ySplit="11" topLeftCell="A12" activePane="bottomLeft" state="frozen"/>
      <selection pane="topLeft" activeCell="C22" sqref="C22:D22"/>
      <selection pane="bottomLeft" activeCell="C34" sqref="C34"/>
    </sheetView>
  </sheetViews>
  <sheetFormatPr defaultColWidth="14.16015625" defaultRowHeight="15" customHeight="1"/>
  <cols>
    <col min="1" max="2" width="10" style="0" customWidth="1"/>
    <col min="3" max="3" width="83.33203125" style="0" customWidth="1"/>
    <col min="4" max="4" width="14.16015625" style="0" customWidth="1"/>
    <col min="5" max="7" width="32.5" style="0" customWidth="1"/>
    <col min="8" max="9" width="0" style="0" hidden="1" customWidth="1"/>
  </cols>
  <sheetData>
    <row r="1" spans="1:7" ht="54.75" customHeight="1">
      <c r="A1" s="74" t="s">
        <v>239</v>
      </c>
      <c r="B1" s="74"/>
      <c r="C1" s="74"/>
      <c r="D1" s="74"/>
      <c r="E1" s="74"/>
      <c r="F1" s="74"/>
      <c r="G1" s="74"/>
    </row>
    <row r="2" spans="1:7" ht="15" customHeight="1">
      <c r="A2" s="75" t="s">
        <v>202</v>
      </c>
      <c r="B2" s="67"/>
      <c r="C2" s="72" t="str">
        <f>'Stavební rozpočet'!C2</f>
        <v>Veřejné prostranství náměstí Hrdinů, Krnov – nestavební zásahy</v>
      </c>
      <c r="D2" s="67" t="s">
        <v>2</v>
      </c>
      <c r="E2" s="67" t="s">
        <v>264</v>
      </c>
      <c r="F2" s="78" t="s">
        <v>243</v>
      </c>
      <c r="G2" s="79" t="str">
        <f>'Stavební rozpočet'!J2</f>
        <v> </v>
      </c>
    </row>
    <row r="3" spans="1:7" ht="15" customHeight="1">
      <c r="A3" s="76"/>
      <c r="B3" s="57"/>
      <c r="C3" s="60"/>
      <c r="D3" s="57"/>
      <c r="E3" s="57"/>
      <c r="F3" s="57"/>
      <c r="G3" s="69"/>
    </row>
    <row r="4" spans="1:7" ht="15" customHeight="1">
      <c r="A4" s="77" t="s">
        <v>152</v>
      </c>
      <c r="B4" s="57"/>
      <c r="C4" s="61" t="str">
        <f>'Stavební rozpočet'!C4</f>
        <v> </v>
      </c>
      <c r="D4" s="57" t="s">
        <v>254</v>
      </c>
      <c r="E4" s="57" t="s">
        <v>265</v>
      </c>
      <c r="F4" s="61" t="s">
        <v>200</v>
      </c>
      <c r="G4" s="80" t="str">
        <f>'Stavební rozpočet'!J4</f>
        <v> </v>
      </c>
    </row>
    <row r="5" spans="1:7" ht="15" customHeight="1">
      <c r="A5" s="76"/>
      <c r="B5" s="57"/>
      <c r="C5" s="57"/>
      <c r="D5" s="57"/>
      <c r="E5" s="57"/>
      <c r="F5" s="57"/>
      <c r="G5" s="69"/>
    </row>
    <row r="6" spans="1:7" ht="15" customHeight="1">
      <c r="A6" s="77" t="s">
        <v>30</v>
      </c>
      <c r="B6" s="57"/>
      <c r="C6" s="61" t="str">
        <f>'Stavební rozpočet'!C6</f>
        <v>Krnov</v>
      </c>
      <c r="D6" s="57" t="s">
        <v>94</v>
      </c>
      <c r="E6" s="57" t="s">
        <v>264</v>
      </c>
      <c r="F6" s="61" t="s">
        <v>249</v>
      </c>
      <c r="G6" s="80" t="str">
        <f>'Stavební rozpočet'!J6</f>
        <v> </v>
      </c>
    </row>
    <row r="7" spans="1:7" ht="15" customHeight="1">
      <c r="A7" s="76"/>
      <c r="B7" s="57"/>
      <c r="C7" s="57"/>
      <c r="D7" s="57"/>
      <c r="E7" s="57"/>
      <c r="F7" s="57"/>
      <c r="G7" s="69"/>
    </row>
    <row r="8" spans="1:7" ht="15" customHeight="1">
      <c r="A8" s="77" t="s">
        <v>191</v>
      </c>
      <c r="B8" s="57"/>
      <c r="C8" s="61" t="str">
        <f>'Stavební rozpočet'!J8</f>
        <v> </v>
      </c>
      <c r="D8" s="57" t="s">
        <v>154</v>
      </c>
      <c r="E8" s="57" t="s">
        <v>265</v>
      </c>
      <c r="F8" s="57" t="s">
        <v>154</v>
      </c>
      <c r="G8" s="80" t="str">
        <f>'Stavební rozpočet'!G8</f>
        <v>09.10.2023</v>
      </c>
    </row>
    <row r="9" spans="1:7" ht="15" customHeight="1">
      <c r="A9" s="76"/>
      <c r="B9" s="57"/>
      <c r="C9" s="57"/>
      <c r="D9" s="59"/>
      <c r="E9" s="57"/>
      <c r="F9" s="57"/>
      <c r="G9" s="69"/>
    </row>
    <row r="10" spans="1:7" ht="15" customHeight="1">
      <c r="A10" s="25" t="s">
        <v>213</v>
      </c>
      <c r="B10" s="47" t="s">
        <v>97</v>
      </c>
      <c r="C10" s="6" t="s">
        <v>312</v>
      </c>
      <c r="E10" s="37" t="s">
        <v>143</v>
      </c>
      <c r="F10" s="35" t="s">
        <v>321</v>
      </c>
      <c r="G10" s="35" t="s">
        <v>18</v>
      </c>
    </row>
    <row r="11" spans="1:9" ht="15" customHeight="1">
      <c r="A11" s="38" t="s">
        <v>202</v>
      </c>
      <c r="B11" s="1" t="s">
        <v>240</v>
      </c>
      <c r="C11" s="57" t="s">
        <v>153</v>
      </c>
      <c r="D11" s="57"/>
      <c r="E11" s="20">
        <f>'Stavební rozpočet'!J12</f>
        <v>0</v>
      </c>
      <c r="F11" s="20">
        <f>'Stavební rozpočet'!K12</f>
        <v>0</v>
      </c>
      <c r="G11" s="20">
        <f>'Stavební rozpočet'!L12</f>
        <v>0</v>
      </c>
      <c r="H11" s="19" t="s">
        <v>279</v>
      </c>
      <c r="I11" s="20">
        <f aca="true" t="shared" si="0" ref="I11:I22">IF(H11="F",0,G11)</f>
        <v>0</v>
      </c>
    </row>
    <row r="12" spans="1:9" ht="15" customHeight="1">
      <c r="A12" s="38" t="s">
        <v>202</v>
      </c>
      <c r="B12" s="1" t="s">
        <v>161</v>
      </c>
      <c r="C12" s="57" t="s">
        <v>174</v>
      </c>
      <c r="D12" s="57"/>
      <c r="E12" s="20">
        <f>'Stavební rozpočet'!J15</f>
        <v>0</v>
      </c>
      <c r="F12" s="20">
        <f>'Stavební rozpočet'!K15</f>
        <v>0</v>
      </c>
      <c r="G12" s="20">
        <f>'Stavební rozpočet'!L15</f>
        <v>0</v>
      </c>
      <c r="H12" s="19" t="s">
        <v>279</v>
      </c>
      <c r="I12" s="20">
        <f t="shared" si="0"/>
        <v>0</v>
      </c>
    </row>
    <row r="13" spans="1:9" ht="15" customHeight="1">
      <c r="A13" s="38" t="s">
        <v>202</v>
      </c>
      <c r="B13" s="1" t="s">
        <v>89</v>
      </c>
      <c r="C13" s="57" t="s">
        <v>3</v>
      </c>
      <c r="D13" s="57"/>
      <c r="E13" s="20">
        <f>'Stavební rozpočet'!J22</f>
        <v>0</v>
      </c>
      <c r="F13" s="20">
        <f>'Stavební rozpočet'!K22</f>
        <v>0</v>
      </c>
      <c r="G13" s="20">
        <f>'Stavební rozpočet'!L22</f>
        <v>0</v>
      </c>
      <c r="H13" s="19" t="s">
        <v>279</v>
      </c>
      <c r="I13" s="20">
        <f t="shared" si="0"/>
        <v>0</v>
      </c>
    </row>
    <row r="14" spans="1:9" ht="15" customHeight="1">
      <c r="A14" s="38" t="s">
        <v>202</v>
      </c>
      <c r="B14" s="1" t="s">
        <v>230</v>
      </c>
      <c r="C14" s="57" t="s">
        <v>301</v>
      </c>
      <c r="D14" s="57"/>
      <c r="E14" s="20">
        <f>'Stavební rozpočet'!J25</f>
        <v>0</v>
      </c>
      <c r="F14" s="20">
        <f>'Stavební rozpočet'!K25</f>
        <v>0</v>
      </c>
      <c r="G14" s="20">
        <f>'Stavební rozpočet'!L25</f>
        <v>0</v>
      </c>
      <c r="H14" s="19" t="s">
        <v>279</v>
      </c>
      <c r="I14" s="20">
        <f t="shared" si="0"/>
        <v>0</v>
      </c>
    </row>
    <row r="15" spans="1:9" ht="15" customHeight="1">
      <c r="A15" s="38" t="s">
        <v>202</v>
      </c>
      <c r="B15" s="1" t="s">
        <v>205</v>
      </c>
      <c r="C15" s="57" t="s">
        <v>101</v>
      </c>
      <c r="D15" s="57"/>
      <c r="E15" s="20">
        <f>'Stavební rozpočet'!J56</f>
        <v>0</v>
      </c>
      <c r="F15" s="20">
        <f>'Stavební rozpočet'!K56</f>
        <v>0</v>
      </c>
      <c r="G15" s="20">
        <f>'Stavební rozpočet'!L56</f>
        <v>0</v>
      </c>
      <c r="H15" s="19" t="s">
        <v>279</v>
      </c>
      <c r="I15" s="20">
        <f t="shared" si="0"/>
        <v>0</v>
      </c>
    </row>
    <row r="16" spans="1:9" ht="15" customHeight="1">
      <c r="A16" s="38" t="s">
        <v>202</v>
      </c>
      <c r="B16" s="1" t="s">
        <v>176</v>
      </c>
      <c r="C16" s="57" t="s">
        <v>194</v>
      </c>
      <c r="D16" s="57"/>
      <c r="E16" s="20">
        <f>'Stavební rozpočet'!J58</f>
        <v>0</v>
      </c>
      <c r="F16" s="20">
        <f>'Stavební rozpočet'!K58</f>
        <v>0</v>
      </c>
      <c r="G16" s="20">
        <f>'Stavební rozpočet'!L58</f>
        <v>0</v>
      </c>
      <c r="H16" s="19" t="s">
        <v>279</v>
      </c>
      <c r="I16" s="20">
        <f t="shared" si="0"/>
        <v>0</v>
      </c>
    </row>
    <row r="17" spans="1:9" ht="15" customHeight="1">
      <c r="A17" s="38" t="s">
        <v>202</v>
      </c>
      <c r="B17" s="1" t="s">
        <v>132</v>
      </c>
      <c r="C17" s="57" t="s">
        <v>267</v>
      </c>
      <c r="D17" s="57"/>
      <c r="E17" s="20">
        <f>'Stavební rozpočet'!J63</f>
        <v>0</v>
      </c>
      <c r="F17" s="20">
        <f>'Stavební rozpočet'!K63</f>
        <v>0</v>
      </c>
      <c r="G17" s="20">
        <f>'Stavební rozpočet'!L63</f>
        <v>0</v>
      </c>
      <c r="H17" s="19" t="s">
        <v>279</v>
      </c>
      <c r="I17" s="20">
        <f t="shared" si="0"/>
        <v>0</v>
      </c>
    </row>
    <row r="18" spans="1:9" ht="15" customHeight="1">
      <c r="A18" s="38" t="s">
        <v>202</v>
      </c>
      <c r="B18" s="1" t="s">
        <v>10</v>
      </c>
      <c r="C18" s="57" t="s">
        <v>108</v>
      </c>
      <c r="D18" s="57"/>
      <c r="E18" s="20">
        <f>'Stavební rozpočet'!J66</f>
        <v>0</v>
      </c>
      <c r="F18" s="20">
        <f>'Stavební rozpočet'!K66</f>
        <v>0</v>
      </c>
      <c r="G18" s="20">
        <f>'Stavební rozpočet'!L66</f>
        <v>0</v>
      </c>
      <c r="H18" s="19" t="s">
        <v>279</v>
      </c>
      <c r="I18" s="20">
        <f t="shared" si="0"/>
        <v>0</v>
      </c>
    </row>
    <row r="19" spans="1:9" ht="15" customHeight="1">
      <c r="A19" s="38" t="s">
        <v>202</v>
      </c>
      <c r="B19" s="1" t="s">
        <v>131</v>
      </c>
      <c r="C19" s="57" t="s">
        <v>23</v>
      </c>
      <c r="D19" s="57"/>
      <c r="E19" s="20">
        <f>'Stavební rozpočet'!J70</f>
        <v>0</v>
      </c>
      <c r="F19" s="20">
        <f>'Stavební rozpočet'!K70</f>
        <v>0</v>
      </c>
      <c r="G19" s="20">
        <f>'Stavební rozpočet'!L70</f>
        <v>0</v>
      </c>
      <c r="H19" s="19" t="s">
        <v>279</v>
      </c>
      <c r="I19" s="20">
        <f t="shared" si="0"/>
        <v>0</v>
      </c>
    </row>
    <row r="20" spans="1:9" ht="15" customHeight="1">
      <c r="A20" s="38" t="s">
        <v>202</v>
      </c>
      <c r="B20" s="1" t="s">
        <v>148</v>
      </c>
      <c r="C20" s="57" t="s">
        <v>169</v>
      </c>
      <c r="D20" s="57"/>
      <c r="E20" s="20">
        <f>'Stavební rozpočet'!J72</f>
        <v>0</v>
      </c>
      <c r="F20" s="20">
        <f>'Stavební rozpočet'!K72</f>
        <v>0</v>
      </c>
      <c r="G20" s="20">
        <f>'Stavební rozpočet'!L72</f>
        <v>0</v>
      </c>
      <c r="H20" s="19" t="s">
        <v>279</v>
      </c>
      <c r="I20" s="20">
        <f t="shared" si="0"/>
        <v>0</v>
      </c>
    </row>
    <row r="21" spans="1:9" ht="15" customHeight="1">
      <c r="A21" s="38" t="s">
        <v>202</v>
      </c>
      <c r="B21" s="1" t="s">
        <v>98</v>
      </c>
      <c r="C21" s="57" t="s">
        <v>125</v>
      </c>
      <c r="D21" s="57"/>
      <c r="E21" s="20">
        <f>'Stavební rozpočet'!J80</f>
        <v>0</v>
      </c>
      <c r="F21" s="20">
        <f>'Stavební rozpočet'!K80</f>
        <v>0</v>
      </c>
      <c r="G21" s="20">
        <f>'Stavební rozpočet'!L80</f>
        <v>0</v>
      </c>
      <c r="H21" s="19" t="s">
        <v>279</v>
      </c>
      <c r="I21" s="20">
        <f t="shared" si="0"/>
        <v>0</v>
      </c>
    </row>
    <row r="22" spans="1:9" ht="15" customHeight="1">
      <c r="A22" s="38" t="s">
        <v>202</v>
      </c>
      <c r="B22" s="1" t="s">
        <v>202</v>
      </c>
      <c r="C22" s="57" t="s">
        <v>20</v>
      </c>
      <c r="D22" s="57"/>
      <c r="E22" s="20">
        <f>'Stavební rozpočet'!J84</f>
        <v>0</v>
      </c>
      <c r="F22" s="20">
        <f>'Stavební rozpočet'!K84</f>
        <v>0</v>
      </c>
      <c r="G22" s="20">
        <f>'Stavební rozpočet'!L84</f>
        <v>0</v>
      </c>
      <c r="H22" s="19" t="s">
        <v>279</v>
      </c>
      <c r="I22" s="20">
        <f t="shared" si="0"/>
        <v>0</v>
      </c>
    </row>
    <row r="23" spans="6:7" ht="15" customHeight="1">
      <c r="F23" s="15" t="s">
        <v>228</v>
      </c>
      <c r="G23" s="24">
        <f>SUM(I11:I22)</f>
        <v>0</v>
      </c>
    </row>
  </sheetData>
  <sheetProtection/>
  <mergeCells count="37">
    <mergeCell ref="A1:G1"/>
    <mergeCell ref="A2:B3"/>
    <mergeCell ref="A4:B5"/>
    <mergeCell ref="A6:B7"/>
    <mergeCell ref="A8:B9"/>
    <mergeCell ref="D2:D3"/>
    <mergeCell ref="D4:D5"/>
    <mergeCell ref="D6:D7"/>
    <mergeCell ref="D8:D9"/>
    <mergeCell ref="F2:F3"/>
    <mergeCell ref="C2:C3"/>
    <mergeCell ref="C4:C5"/>
    <mergeCell ref="C6:C7"/>
    <mergeCell ref="C8:C9"/>
    <mergeCell ref="E2:E3"/>
    <mergeCell ref="E4:E5"/>
    <mergeCell ref="E6:E7"/>
    <mergeCell ref="C17:D17"/>
    <mergeCell ref="E8:E9"/>
    <mergeCell ref="G2:G3"/>
    <mergeCell ref="G4:G5"/>
    <mergeCell ref="G6:G7"/>
    <mergeCell ref="G8:G9"/>
    <mergeCell ref="C11:D11"/>
    <mergeCell ref="F4:F5"/>
    <mergeCell ref="F6:F7"/>
    <mergeCell ref="F8:F9"/>
    <mergeCell ref="C18:D18"/>
    <mergeCell ref="C19:D19"/>
    <mergeCell ref="C20:D20"/>
    <mergeCell ref="C21:D21"/>
    <mergeCell ref="C22:D22"/>
    <mergeCell ref="C12:D12"/>
    <mergeCell ref="C13:D13"/>
    <mergeCell ref="C14:D14"/>
    <mergeCell ref="C15:D15"/>
    <mergeCell ref="C16:D16"/>
  </mergeCells>
  <printOptions/>
  <pageMargins left="0.394" right="0.394" top="0.591" bottom="0.591" header="0" footer="0"/>
  <pageSetup firstPageNumber="0" useFirstPageNumber="1" fitToHeight="0" fitToWidth="1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tabSelected="1" showOutlineSymbols="0" zoomScalePageLayoutView="0" workbookViewId="0" topLeftCell="A1">
      <selection activeCell="A13" sqref="A13:G13"/>
    </sheetView>
  </sheetViews>
  <sheetFormatPr defaultColWidth="14.16015625" defaultRowHeight="15" customHeight="1"/>
  <cols>
    <col min="1" max="2" width="10.66015625" style="0" customWidth="1"/>
    <col min="3" max="3" width="16.66015625" style="0" customWidth="1"/>
    <col min="4" max="4" width="50" style="0" customWidth="1"/>
    <col min="5" max="5" width="16.66015625" style="0" customWidth="1"/>
    <col min="6" max="6" width="28.16015625" style="0" customWidth="1"/>
    <col min="7" max="7" width="18.33203125" style="0" customWidth="1"/>
    <col min="8" max="8" width="23.33203125" style="0" customWidth="1"/>
  </cols>
  <sheetData>
    <row r="1" spans="1:8" ht="54.75" customHeight="1">
      <c r="A1" s="74" t="s">
        <v>292</v>
      </c>
      <c r="B1" s="74"/>
      <c r="C1" s="74"/>
      <c r="D1" s="74"/>
      <c r="E1" s="74"/>
      <c r="F1" s="74"/>
      <c r="G1" s="74"/>
      <c r="H1" s="74"/>
    </row>
    <row r="2" spans="1:8" ht="15" customHeight="1">
      <c r="A2" s="75" t="s">
        <v>202</v>
      </c>
      <c r="B2" s="67"/>
      <c r="C2" s="72" t="str">
        <f>'Stavební rozpočet'!C2</f>
        <v>Veřejné prostranství náměstí Hrdinů, Krnov – nestavební zásahy</v>
      </c>
      <c r="D2" s="73"/>
      <c r="E2" s="78" t="s">
        <v>243</v>
      </c>
      <c r="F2" s="78" t="str">
        <f>'Stavební rozpočet'!J2</f>
        <v> </v>
      </c>
      <c r="G2" s="67"/>
      <c r="H2" s="68"/>
    </row>
    <row r="3" spans="1:8" ht="15" customHeight="1">
      <c r="A3" s="76"/>
      <c r="B3" s="57"/>
      <c r="C3" s="60"/>
      <c r="D3" s="60"/>
      <c r="E3" s="57"/>
      <c r="F3" s="57"/>
      <c r="G3" s="57"/>
      <c r="H3" s="69"/>
    </row>
    <row r="4" spans="1:8" ht="15" customHeight="1">
      <c r="A4" s="77" t="s">
        <v>152</v>
      </c>
      <c r="B4" s="57"/>
      <c r="C4" s="61" t="str">
        <f>'Stavební rozpočet'!C4</f>
        <v> </v>
      </c>
      <c r="D4" s="57"/>
      <c r="E4" s="61" t="s">
        <v>200</v>
      </c>
      <c r="F4" s="61" t="str">
        <f>'Stavební rozpočet'!J4</f>
        <v> </v>
      </c>
      <c r="G4" s="57"/>
      <c r="H4" s="69"/>
    </row>
    <row r="5" spans="1:8" ht="15" customHeight="1">
      <c r="A5" s="76"/>
      <c r="B5" s="57"/>
      <c r="C5" s="57"/>
      <c r="D5" s="57"/>
      <c r="E5" s="57"/>
      <c r="F5" s="57"/>
      <c r="G5" s="57"/>
      <c r="H5" s="69"/>
    </row>
    <row r="6" spans="1:8" ht="15" customHeight="1">
      <c r="A6" s="77" t="s">
        <v>30</v>
      </c>
      <c r="B6" s="57"/>
      <c r="C6" s="61" t="str">
        <f>'Stavební rozpočet'!C6</f>
        <v>Krnov</v>
      </c>
      <c r="D6" s="57"/>
      <c r="E6" s="61" t="s">
        <v>249</v>
      </c>
      <c r="F6" s="61" t="str">
        <f>'Stavební rozpočet'!J6</f>
        <v> </v>
      </c>
      <c r="G6" s="57"/>
      <c r="H6" s="69"/>
    </row>
    <row r="7" spans="1:8" ht="15" customHeight="1">
      <c r="A7" s="76"/>
      <c r="B7" s="57"/>
      <c r="C7" s="57"/>
      <c r="D7" s="57"/>
      <c r="E7" s="57"/>
      <c r="F7" s="57"/>
      <c r="G7" s="57"/>
      <c r="H7" s="69"/>
    </row>
    <row r="8" spans="1:8" ht="15" customHeight="1">
      <c r="A8" s="77" t="s">
        <v>191</v>
      </c>
      <c r="B8" s="57"/>
      <c r="C8" s="61" t="str">
        <f>'Stavební rozpočet'!J8</f>
        <v> </v>
      </c>
      <c r="D8" s="57"/>
      <c r="E8" s="61" t="s">
        <v>154</v>
      </c>
      <c r="F8" s="61" t="str">
        <f>'Stavební rozpočet'!G8</f>
        <v>09.10.2023</v>
      </c>
      <c r="G8" s="57"/>
      <c r="H8" s="69"/>
    </row>
    <row r="9" spans="1:8" ht="15" customHeight="1">
      <c r="A9" s="76"/>
      <c r="B9" s="57"/>
      <c r="C9" s="57"/>
      <c r="D9" s="57"/>
      <c r="E9" s="57"/>
      <c r="F9" s="57"/>
      <c r="G9" s="57"/>
      <c r="H9" s="69"/>
    </row>
    <row r="10" spans="1:8" ht="15" customHeight="1">
      <c r="A10" s="8" t="s">
        <v>24</v>
      </c>
      <c r="B10" s="32" t="s">
        <v>213</v>
      </c>
      <c r="C10" s="32" t="s">
        <v>97</v>
      </c>
      <c r="D10" s="81" t="s">
        <v>312</v>
      </c>
      <c r="E10" s="82"/>
      <c r="F10" s="32" t="s">
        <v>103</v>
      </c>
      <c r="G10" s="7" t="s">
        <v>166</v>
      </c>
      <c r="H10" s="39" t="s">
        <v>245</v>
      </c>
    </row>
    <row r="12" ht="15" customHeight="1">
      <c r="A12" s="33" t="s">
        <v>29</v>
      </c>
    </row>
    <row r="13" spans="1:7" ht="12.75" customHeight="1">
      <c r="A13" s="61" t="s">
        <v>202</v>
      </c>
      <c r="B13" s="57"/>
      <c r="C13" s="57"/>
      <c r="D13" s="57"/>
      <c r="E13" s="57"/>
      <c r="F13" s="57"/>
      <c r="G13" s="57"/>
    </row>
  </sheetData>
  <sheetProtection/>
  <mergeCells count="19">
    <mergeCell ref="A1:H1"/>
    <mergeCell ref="A2:B3"/>
    <mergeCell ref="A4:B5"/>
    <mergeCell ref="A6:B7"/>
    <mergeCell ref="A8:B9"/>
    <mergeCell ref="E2:E3"/>
    <mergeCell ref="E4:E5"/>
    <mergeCell ref="E6:E7"/>
    <mergeCell ref="E8:E9"/>
    <mergeCell ref="C2:D3"/>
    <mergeCell ref="D10:E10"/>
    <mergeCell ref="A13:G13"/>
    <mergeCell ref="C4:D5"/>
    <mergeCell ref="C6:D7"/>
    <mergeCell ref="C8:D9"/>
    <mergeCell ref="F2:H3"/>
    <mergeCell ref="F4:H5"/>
    <mergeCell ref="F6:H7"/>
    <mergeCell ref="F8:H9"/>
  </mergeCells>
  <printOptions/>
  <pageMargins left="0.394" right="0.394" top="0.591" bottom="0.591" header="0" footer="0"/>
  <pageSetup firstPageNumber="0" useFirstPageNumber="1" fitToHeight="0" fitToWidth="1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showOutlineSymbols="0" zoomScalePageLayoutView="0" workbookViewId="0" topLeftCell="A1">
      <selection activeCell="A37" sqref="A37:I37"/>
    </sheetView>
  </sheetViews>
  <sheetFormatPr defaultColWidth="14.16015625" defaultRowHeight="15" customHeight="1"/>
  <cols>
    <col min="1" max="1" width="10.66015625" style="0" customWidth="1"/>
    <col min="2" max="2" width="15" style="0" customWidth="1"/>
    <col min="3" max="3" width="31.66015625" style="0" customWidth="1"/>
    <col min="4" max="4" width="11.66015625" style="0" customWidth="1"/>
    <col min="5" max="5" width="16.33203125" style="0" customWidth="1"/>
    <col min="6" max="6" width="31.66015625" style="0" customWidth="1"/>
    <col min="7" max="7" width="10.66015625" style="0" customWidth="1"/>
    <col min="8" max="8" width="15" style="0" customWidth="1"/>
    <col min="9" max="9" width="31.66015625" style="0" customWidth="1"/>
  </cols>
  <sheetData>
    <row r="1" spans="1:9" ht="54.75" customHeight="1">
      <c r="A1" s="112" t="s">
        <v>73</v>
      </c>
      <c r="B1" s="74"/>
      <c r="C1" s="74"/>
      <c r="D1" s="74"/>
      <c r="E1" s="74"/>
      <c r="F1" s="74"/>
      <c r="G1" s="74"/>
      <c r="H1" s="74"/>
      <c r="I1" s="74"/>
    </row>
    <row r="2" spans="1:9" ht="15" customHeight="1">
      <c r="A2" s="75" t="s">
        <v>202</v>
      </c>
      <c r="B2" s="67"/>
      <c r="C2" s="72" t="str">
        <f>'Stavební rozpočet'!C2</f>
        <v>Veřejné prostranství náměstí Hrdinů, Krnov – nestavební zásahy</v>
      </c>
      <c r="D2" s="73"/>
      <c r="E2" s="78" t="s">
        <v>243</v>
      </c>
      <c r="F2" s="78" t="str">
        <f>'Stavební rozpočet'!J2</f>
        <v> </v>
      </c>
      <c r="G2" s="67"/>
      <c r="H2" s="78" t="s">
        <v>185</v>
      </c>
      <c r="I2" s="68" t="s">
        <v>202</v>
      </c>
    </row>
    <row r="3" spans="1:9" ht="15" customHeight="1">
      <c r="A3" s="76"/>
      <c r="B3" s="57"/>
      <c r="C3" s="60"/>
      <c r="D3" s="60"/>
      <c r="E3" s="57"/>
      <c r="F3" s="57"/>
      <c r="G3" s="57"/>
      <c r="H3" s="57"/>
      <c r="I3" s="69"/>
    </row>
    <row r="4" spans="1:9" ht="15" customHeight="1">
      <c r="A4" s="77" t="s">
        <v>152</v>
      </c>
      <c r="B4" s="57"/>
      <c r="C4" s="61" t="str">
        <f>'Stavební rozpočet'!C4</f>
        <v> </v>
      </c>
      <c r="D4" s="57"/>
      <c r="E4" s="61" t="s">
        <v>200</v>
      </c>
      <c r="F4" s="61" t="str">
        <f>'Stavební rozpočet'!J4</f>
        <v> </v>
      </c>
      <c r="G4" s="57"/>
      <c r="H4" s="61" t="s">
        <v>185</v>
      </c>
      <c r="I4" s="69" t="s">
        <v>202</v>
      </c>
    </row>
    <row r="5" spans="1:9" ht="15" customHeight="1">
      <c r="A5" s="76"/>
      <c r="B5" s="57"/>
      <c r="C5" s="57"/>
      <c r="D5" s="57"/>
      <c r="E5" s="57"/>
      <c r="F5" s="57"/>
      <c r="G5" s="57"/>
      <c r="H5" s="57"/>
      <c r="I5" s="69"/>
    </row>
    <row r="6" spans="1:9" ht="15" customHeight="1">
      <c r="A6" s="77" t="s">
        <v>30</v>
      </c>
      <c r="B6" s="57"/>
      <c r="C6" s="61" t="str">
        <f>'Stavební rozpočet'!C6</f>
        <v>Krnov</v>
      </c>
      <c r="D6" s="57"/>
      <c r="E6" s="61" t="s">
        <v>249</v>
      </c>
      <c r="F6" s="61" t="str">
        <f>'Stavební rozpočet'!J6</f>
        <v> </v>
      </c>
      <c r="G6" s="57"/>
      <c r="H6" s="61" t="s">
        <v>185</v>
      </c>
      <c r="I6" s="69" t="s">
        <v>202</v>
      </c>
    </row>
    <row r="7" spans="1:9" ht="15" customHeight="1">
      <c r="A7" s="76"/>
      <c r="B7" s="57"/>
      <c r="C7" s="57"/>
      <c r="D7" s="57"/>
      <c r="E7" s="57"/>
      <c r="F7" s="57"/>
      <c r="G7" s="57"/>
      <c r="H7" s="57"/>
      <c r="I7" s="69"/>
    </row>
    <row r="8" spans="1:9" ht="15" customHeight="1">
      <c r="A8" s="77" t="s">
        <v>254</v>
      </c>
      <c r="B8" s="57"/>
      <c r="C8" s="61" t="str">
        <f>'Stavební rozpočet'!G4</f>
        <v>09.10.2023</v>
      </c>
      <c r="D8" s="57"/>
      <c r="E8" s="61" t="s">
        <v>94</v>
      </c>
      <c r="F8" s="61" t="str">
        <f>'Stavební rozpočet'!G6</f>
        <v> </v>
      </c>
      <c r="G8" s="57"/>
      <c r="H8" s="57" t="s">
        <v>298</v>
      </c>
      <c r="I8" s="109">
        <v>62</v>
      </c>
    </row>
    <row r="9" spans="1:9" ht="15" customHeight="1">
      <c r="A9" s="76"/>
      <c r="B9" s="57"/>
      <c r="C9" s="57"/>
      <c r="D9" s="57"/>
      <c r="E9" s="57"/>
      <c r="F9" s="57"/>
      <c r="G9" s="57"/>
      <c r="H9" s="57"/>
      <c r="I9" s="69"/>
    </row>
    <row r="10" spans="1:9" ht="15" customHeight="1">
      <c r="A10" s="77" t="s">
        <v>140</v>
      </c>
      <c r="B10" s="57"/>
      <c r="C10" s="61" t="str">
        <f>'Stavební rozpočet'!C8</f>
        <v> </v>
      </c>
      <c r="D10" s="57"/>
      <c r="E10" s="61" t="s">
        <v>191</v>
      </c>
      <c r="F10" s="61" t="str">
        <f>'Stavební rozpočet'!J8</f>
        <v> </v>
      </c>
      <c r="G10" s="57"/>
      <c r="H10" s="57" t="s">
        <v>280</v>
      </c>
      <c r="I10" s="80" t="str">
        <f>'Stavební rozpočet'!G8</f>
        <v>09.10.2023</v>
      </c>
    </row>
    <row r="11" spans="1:9" ht="15" customHeight="1">
      <c r="A11" s="113"/>
      <c r="B11" s="59"/>
      <c r="C11" s="59"/>
      <c r="D11" s="59"/>
      <c r="E11" s="59"/>
      <c r="F11" s="59"/>
      <c r="G11" s="59"/>
      <c r="H11" s="59"/>
      <c r="I11" s="110"/>
    </row>
    <row r="12" spans="1:9" ht="22.5" customHeight="1">
      <c r="A12" s="111" t="s">
        <v>54</v>
      </c>
      <c r="B12" s="111"/>
      <c r="C12" s="111"/>
      <c r="D12" s="111"/>
      <c r="E12" s="111"/>
      <c r="F12" s="111"/>
      <c r="G12" s="111"/>
      <c r="H12" s="111"/>
      <c r="I12" s="111"/>
    </row>
    <row r="13" spans="1:9" ht="26.25" customHeight="1">
      <c r="A13" s="52" t="s">
        <v>255</v>
      </c>
      <c r="B13" s="104" t="s">
        <v>43</v>
      </c>
      <c r="C13" s="105"/>
      <c r="D13" s="42" t="s">
        <v>59</v>
      </c>
      <c r="E13" s="104" t="s">
        <v>109</v>
      </c>
      <c r="F13" s="105"/>
      <c r="G13" s="42" t="s">
        <v>180</v>
      </c>
      <c r="H13" s="104" t="s">
        <v>60</v>
      </c>
      <c r="I13" s="105"/>
    </row>
    <row r="14" spans="1:9" ht="15" customHeight="1">
      <c r="A14" s="26" t="s">
        <v>111</v>
      </c>
      <c r="B14" s="17" t="s">
        <v>80</v>
      </c>
      <c r="C14" s="41">
        <f>SUM('Stavební rozpočet'!AB12:AB85)</f>
        <v>0</v>
      </c>
      <c r="D14" s="96" t="s">
        <v>207</v>
      </c>
      <c r="E14" s="97"/>
      <c r="F14" s="41">
        <v>0</v>
      </c>
      <c r="G14" s="96" t="s">
        <v>37</v>
      </c>
      <c r="H14" s="97"/>
      <c r="I14" s="3" t="s">
        <v>148</v>
      </c>
    </row>
    <row r="15" spans="1:9" ht="15" customHeight="1">
      <c r="A15" s="56" t="s">
        <v>202</v>
      </c>
      <c r="B15" s="17" t="s">
        <v>62</v>
      </c>
      <c r="C15" s="41">
        <f>SUM('Stavební rozpočet'!AC12:AC85)</f>
        <v>0</v>
      </c>
      <c r="D15" s="96" t="s">
        <v>35</v>
      </c>
      <c r="E15" s="97"/>
      <c r="F15" s="41">
        <v>0</v>
      </c>
      <c r="G15" s="96" t="s">
        <v>229</v>
      </c>
      <c r="H15" s="97"/>
      <c r="I15" s="3" t="s">
        <v>148</v>
      </c>
    </row>
    <row r="16" spans="1:9" ht="15" customHeight="1">
      <c r="A16" s="26" t="s">
        <v>33</v>
      </c>
      <c r="B16" s="17" t="s">
        <v>80</v>
      </c>
      <c r="C16" s="41">
        <f>SUM('Stavební rozpočet'!AD12:AD85)</f>
        <v>0</v>
      </c>
      <c r="D16" s="96" t="s">
        <v>212</v>
      </c>
      <c r="E16" s="97"/>
      <c r="F16" s="41">
        <v>0</v>
      </c>
      <c r="G16" s="96" t="s">
        <v>275</v>
      </c>
      <c r="H16" s="97"/>
      <c r="I16" s="3" t="s">
        <v>148</v>
      </c>
    </row>
    <row r="17" spans="1:9" ht="15" customHeight="1">
      <c r="A17" s="56" t="s">
        <v>202</v>
      </c>
      <c r="B17" s="17" t="s">
        <v>62</v>
      </c>
      <c r="C17" s="41">
        <f>SUM('Stavební rozpočet'!AE12:AE85)</f>
        <v>0</v>
      </c>
      <c r="D17" s="96" t="s">
        <v>202</v>
      </c>
      <c r="E17" s="97"/>
      <c r="F17" s="3" t="s">
        <v>202</v>
      </c>
      <c r="G17" s="96" t="s">
        <v>150</v>
      </c>
      <c r="H17" s="97"/>
      <c r="I17" s="3" t="s">
        <v>148</v>
      </c>
    </row>
    <row r="18" spans="1:9" ht="15" customHeight="1">
      <c r="A18" s="26" t="s">
        <v>92</v>
      </c>
      <c r="B18" s="17" t="s">
        <v>80</v>
      </c>
      <c r="C18" s="41">
        <f>SUM('Stavební rozpočet'!AF12:AF85)</f>
        <v>0</v>
      </c>
      <c r="D18" s="96" t="s">
        <v>202</v>
      </c>
      <c r="E18" s="97"/>
      <c r="F18" s="3" t="s">
        <v>202</v>
      </c>
      <c r="G18" s="96" t="s">
        <v>186</v>
      </c>
      <c r="H18" s="97"/>
      <c r="I18" s="3" t="s">
        <v>148</v>
      </c>
    </row>
    <row r="19" spans="1:9" ht="15" customHeight="1">
      <c r="A19" s="56" t="s">
        <v>202</v>
      </c>
      <c r="B19" s="17" t="s">
        <v>62</v>
      </c>
      <c r="C19" s="41">
        <f>SUM('Stavební rozpočet'!AG12:AG85)</f>
        <v>0</v>
      </c>
      <c r="D19" s="96" t="s">
        <v>202</v>
      </c>
      <c r="E19" s="97"/>
      <c r="F19" s="3" t="s">
        <v>202</v>
      </c>
      <c r="G19" s="96" t="s">
        <v>290</v>
      </c>
      <c r="H19" s="97"/>
      <c r="I19" s="3" t="s">
        <v>148</v>
      </c>
    </row>
    <row r="20" spans="1:9" ht="15" customHeight="1">
      <c r="A20" s="103" t="s">
        <v>20</v>
      </c>
      <c r="B20" s="102"/>
      <c r="C20" s="41">
        <f>SUM('Stavební rozpočet'!AH12:AH85)</f>
        <v>0</v>
      </c>
      <c r="D20" s="96" t="s">
        <v>202</v>
      </c>
      <c r="E20" s="97"/>
      <c r="F20" s="3" t="s">
        <v>202</v>
      </c>
      <c r="G20" s="96" t="s">
        <v>202</v>
      </c>
      <c r="H20" s="97"/>
      <c r="I20" s="3" t="s">
        <v>202</v>
      </c>
    </row>
    <row r="21" spans="1:9" ht="15" customHeight="1">
      <c r="A21" s="106" t="s">
        <v>288</v>
      </c>
      <c r="B21" s="107"/>
      <c r="C21" s="28">
        <f>SUM('Stavební rozpočet'!Z12:Z85)</f>
        <v>0</v>
      </c>
      <c r="D21" s="85" t="s">
        <v>202</v>
      </c>
      <c r="E21" s="98"/>
      <c r="F21" s="29" t="s">
        <v>202</v>
      </c>
      <c r="G21" s="85" t="s">
        <v>202</v>
      </c>
      <c r="H21" s="98"/>
      <c r="I21" s="29" t="s">
        <v>202</v>
      </c>
    </row>
    <row r="22" spans="1:9" ht="16.5" customHeight="1">
      <c r="A22" s="108" t="s">
        <v>64</v>
      </c>
      <c r="B22" s="100"/>
      <c r="C22" s="14">
        <f>SUM(C14:C21)</f>
        <v>0</v>
      </c>
      <c r="D22" s="99" t="s">
        <v>146</v>
      </c>
      <c r="E22" s="100"/>
      <c r="F22" s="14">
        <f>SUM(F14:F21)</f>
        <v>0</v>
      </c>
      <c r="G22" s="99" t="s">
        <v>299</v>
      </c>
      <c r="H22" s="100"/>
      <c r="I22" s="14">
        <f>SUM(I14:I21)</f>
        <v>0</v>
      </c>
    </row>
    <row r="23" spans="4:9" ht="15" customHeight="1">
      <c r="D23" s="103" t="s">
        <v>231</v>
      </c>
      <c r="E23" s="102"/>
      <c r="F23" s="51">
        <v>0</v>
      </c>
      <c r="G23" s="101" t="s">
        <v>16</v>
      </c>
      <c r="H23" s="102"/>
      <c r="I23" s="41">
        <v>0</v>
      </c>
    </row>
    <row r="24" spans="7:8" ht="15" customHeight="1">
      <c r="G24" s="103" t="s">
        <v>201</v>
      </c>
      <c r="H24" s="102"/>
    </row>
    <row r="25" spans="7:9" ht="15" customHeight="1">
      <c r="G25" s="103" t="s">
        <v>221</v>
      </c>
      <c r="H25" s="102"/>
      <c r="I25" s="14">
        <v>0</v>
      </c>
    </row>
    <row r="27" spans="1:3" ht="15" customHeight="1">
      <c r="A27" s="92" t="s">
        <v>119</v>
      </c>
      <c r="B27" s="93"/>
      <c r="C27" s="4">
        <f>SUM('Stavební rozpočet'!AJ12:AJ85)</f>
        <v>0</v>
      </c>
    </row>
    <row r="28" spans="1:9" ht="15" customHeight="1">
      <c r="A28" s="94" t="s">
        <v>7</v>
      </c>
      <c r="B28" s="95"/>
      <c r="C28" s="48">
        <f>SUM('Stavební rozpočet'!AK12:AK85)</f>
        <v>0</v>
      </c>
      <c r="D28" s="93" t="s">
        <v>71</v>
      </c>
      <c r="E28" s="93"/>
      <c r="F28" s="4">
        <f>ROUND(C28*(15/100),2)</f>
        <v>0</v>
      </c>
      <c r="G28" s="93" t="s">
        <v>48</v>
      </c>
      <c r="H28" s="93"/>
      <c r="I28" s="4">
        <f>SUM(C27:C29)</f>
        <v>0</v>
      </c>
    </row>
    <row r="29" spans="1:9" ht="15" customHeight="1">
      <c r="A29" s="94" t="s">
        <v>11</v>
      </c>
      <c r="B29" s="95"/>
      <c r="C29" s="48">
        <f>SUM('Stavební rozpočet'!AL12:AL85)+(F22+I22+F23+I23+I24+I25)</f>
        <v>0</v>
      </c>
      <c r="D29" s="95" t="s">
        <v>214</v>
      </c>
      <c r="E29" s="95"/>
      <c r="F29" s="48">
        <f>ROUND(C29*(21/100),2)</f>
        <v>0</v>
      </c>
      <c r="G29" s="95" t="s">
        <v>118</v>
      </c>
      <c r="H29" s="95"/>
      <c r="I29" s="48">
        <f>SUM(F28:F29)+I28</f>
        <v>0</v>
      </c>
    </row>
    <row r="31" spans="1:9" ht="15" customHeight="1">
      <c r="A31" s="89" t="s">
        <v>5</v>
      </c>
      <c r="B31" s="83"/>
      <c r="C31" s="84"/>
      <c r="D31" s="83" t="s">
        <v>270</v>
      </c>
      <c r="E31" s="83"/>
      <c r="F31" s="84"/>
      <c r="G31" s="83" t="s">
        <v>198</v>
      </c>
      <c r="H31" s="83"/>
      <c r="I31" s="84"/>
    </row>
    <row r="32" spans="1:9" ht="15" customHeight="1">
      <c r="A32" s="90" t="s">
        <v>202</v>
      </c>
      <c r="B32" s="85"/>
      <c r="C32" s="86"/>
      <c r="D32" s="85" t="s">
        <v>202</v>
      </c>
      <c r="E32" s="85"/>
      <c r="F32" s="86"/>
      <c r="G32" s="85" t="s">
        <v>202</v>
      </c>
      <c r="H32" s="85"/>
      <c r="I32" s="86"/>
    </row>
    <row r="33" spans="1:9" ht="15" customHeight="1">
      <c r="A33" s="90" t="s">
        <v>202</v>
      </c>
      <c r="B33" s="85"/>
      <c r="C33" s="86"/>
      <c r="D33" s="85" t="s">
        <v>202</v>
      </c>
      <c r="E33" s="85"/>
      <c r="F33" s="86"/>
      <c r="G33" s="85" t="s">
        <v>202</v>
      </c>
      <c r="H33" s="85"/>
      <c r="I33" s="86"/>
    </row>
    <row r="34" spans="1:9" ht="15" customHeight="1">
      <c r="A34" s="90" t="s">
        <v>202</v>
      </c>
      <c r="B34" s="85"/>
      <c r="C34" s="86"/>
      <c r="D34" s="85" t="s">
        <v>202</v>
      </c>
      <c r="E34" s="85"/>
      <c r="F34" s="86"/>
      <c r="G34" s="85" t="s">
        <v>202</v>
      </c>
      <c r="H34" s="85"/>
      <c r="I34" s="86"/>
    </row>
    <row r="35" spans="1:9" ht="15" customHeight="1">
      <c r="A35" s="91" t="s">
        <v>63</v>
      </c>
      <c r="B35" s="87"/>
      <c r="C35" s="88"/>
      <c r="D35" s="87" t="s">
        <v>63</v>
      </c>
      <c r="E35" s="87"/>
      <c r="F35" s="88"/>
      <c r="G35" s="87" t="s">
        <v>63</v>
      </c>
      <c r="H35" s="87"/>
      <c r="I35" s="88"/>
    </row>
    <row r="36" ht="15" customHeight="1">
      <c r="A36" s="33" t="s">
        <v>29</v>
      </c>
    </row>
    <row r="37" spans="1:9" ht="12.75" customHeight="1">
      <c r="A37" s="61" t="s">
        <v>202</v>
      </c>
      <c r="B37" s="57"/>
      <c r="C37" s="57"/>
      <c r="D37" s="57"/>
      <c r="E37" s="57"/>
      <c r="F37" s="57"/>
      <c r="G37" s="57"/>
      <c r="H37" s="57"/>
      <c r="I37" s="57"/>
    </row>
  </sheetData>
  <sheetProtection/>
  <mergeCells count="83">
    <mergeCell ref="A1:I1"/>
    <mergeCell ref="A2:B3"/>
    <mergeCell ref="A4:B5"/>
    <mergeCell ref="A6:B7"/>
    <mergeCell ref="A8:B9"/>
    <mergeCell ref="A10:B11"/>
    <mergeCell ref="E2:E3"/>
    <mergeCell ref="E4:E5"/>
    <mergeCell ref="E6:E7"/>
    <mergeCell ref="E8:E9"/>
    <mergeCell ref="E10:E11"/>
    <mergeCell ref="C2:D3"/>
    <mergeCell ref="C4:D5"/>
    <mergeCell ref="C6:D7"/>
    <mergeCell ref="C8:D9"/>
    <mergeCell ref="C10:D11"/>
    <mergeCell ref="F10:G11"/>
    <mergeCell ref="H2:H3"/>
    <mergeCell ref="H4:H5"/>
    <mergeCell ref="H6:H7"/>
    <mergeCell ref="H8:H9"/>
    <mergeCell ref="H10:H11"/>
    <mergeCell ref="I2:I3"/>
    <mergeCell ref="I4:I5"/>
    <mergeCell ref="I6:I7"/>
    <mergeCell ref="I8:I9"/>
    <mergeCell ref="I10:I11"/>
    <mergeCell ref="A12:I12"/>
    <mergeCell ref="F2:G3"/>
    <mergeCell ref="F4:G5"/>
    <mergeCell ref="F6:G7"/>
    <mergeCell ref="F8:G9"/>
    <mergeCell ref="B13:C13"/>
    <mergeCell ref="E13:F13"/>
    <mergeCell ref="H13:I13"/>
    <mergeCell ref="A20:B20"/>
    <mergeCell ref="A21:B21"/>
    <mergeCell ref="A22:B22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A27:B27"/>
    <mergeCell ref="A28:B28"/>
    <mergeCell ref="A29:B29"/>
    <mergeCell ref="D28:E28"/>
    <mergeCell ref="D29:E29"/>
    <mergeCell ref="G28:H28"/>
    <mergeCell ref="G29:H29"/>
    <mergeCell ref="A35:C35"/>
    <mergeCell ref="D31:F31"/>
    <mergeCell ref="D32:F32"/>
    <mergeCell ref="D33:F33"/>
    <mergeCell ref="D34:F34"/>
    <mergeCell ref="D35:F35"/>
    <mergeCell ref="G31:I31"/>
    <mergeCell ref="G32:I32"/>
    <mergeCell ref="G33:I33"/>
    <mergeCell ref="G34:I34"/>
    <mergeCell ref="G35:I35"/>
    <mergeCell ref="A37:I37"/>
    <mergeCell ref="A31:C31"/>
    <mergeCell ref="A32:C32"/>
    <mergeCell ref="A33:C33"/>
    <mergeCell ref="A34:C34"/>
  </mergeCells>
  <printOptions/>
  <pageMargins left="0.394" right="0.394" top="0.591" bottom="0.591" header="0" footer="0"/>
  <pageSetup firstPageNumber="0" useFirstPageNumber="1" fitToHeight="1" fitToWidth="1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Pavla Hajkova</cp:lastModifiedBy>
  <dcterms:created xsi:type="dcterms:W3CDTF">2021-06-10T20:06:38Z</dcterms:created>
  <dcterms:modified xsi:type="dcterms:W3CDTF">2024-06-10T13:04:16Z</dcterms:modified>
  <cp:category/>
  <cp:version/>
  <cp:contentType/>
  <cp:contentStatus/>
</cp:coreProperties>
</file>