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8a4a5378a96c7f6/Plocha/"/>
    </mc:Choice>
  </mc:AlternateContent>
  <xr:revisionPtr revIDLastSave="1" documentId="11_4F3EDC3F4E70D1B7216323380E9778B5CCCE19C2" xr6:coauthVersionLast="47" xr6:coauthVersionMax="47" xr10:uidLastSave="{4474FBBE-4F3C-400E-86EF-0CE359A26D3E}"/>
  <bookViews>
    <workbookView xWindow="-110" yWindow="-110" windowWidth="38620" windowHeight="21100" activeTab="3" xr2:uid="{00000000-000D-0000-FFFF-FFFF00000000}"/>
  </bookViews>
  <sheets>
    <sheet name="Krycí list rozpočtu" sheetId="2" r:id="rId1"/>
    <sheet name="Rozpočet - Jen podskupiny" sheetId="1" r:id="rId2"/>
    <sheet name="VORN" sheetId="3" state="hidden" r:id="rId3"/>
    <sheet name="Stavební rozpočet" sheetId="4" r:id="rId4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60" i="4" l="1"/>
  <c r="BI160" i="4"/>
  <c r="BF160" i="4"/>
  <c r="BD160" i="4"/>
  <c r="AP160" i="4"/>
  <c r="AX160" i="4" s="1"/>
  <c r="AO160" i="4"/>
  <c r="BH160" i="4" s="1"/>
  <c r="AL160" i="4"/>
  <c r="AK160" i="4"/>
  <c r="AJ160" i="4"/>
  <c r="AH160" i="4"/>
  <c r="AG160" i="4"/>
  <c r="AF160" i="4"/>
  <c r="AE160" i="4"/>
  <c r="AD160" i="4"/>
  <c r="AC160" i="4"/>
  <c r="AB160" i="4"/>
  <c r="Z160" i="4"/>
  <c r="H160" i="4"/>
  <c r="BJ159" i="4"/>
  <c r="BI159" i="4"/>
  <c r="AC159" i="4" s="1"/>
  <c r="BH159" i="4"/>
  <c r="BF159" i="4"/>
  <c r="BD159" i="4"/>
  <c r="AV159" i="4"/>
  <c r="AP159" i="4"/>
  <c r="AX159" i="4" s="1"/>
  <c r="AO159" i="4"/>
  <c r="AW159" i="4" s="1"/>
  <c r="BC159" i="4" s="1"/>
  <c r="AL159" i="4"/>
  <c r="AU157" i="4" s="1"/>
  <c r="AK159" i="4"/>
  <c r="AJ159" i="4"/>
  <c r="AH159" i="4"/>
  <c r="AG159" i="4"/>
  <c r="AF159" i="4"/>
  <c r="AE159" i="4"/>
  <c r="AD159" i="4"/>
  <c r="AB159" i="4"/>
  <c r="Z159" i="4"/>
  <c r="H159" i="4"/>
  <c r="BJ158" i="4"/>
  <c r="BH158" i="4"/>
  <c r="AB158" i="4" s="1"/>
  <c r="BF158" i="4"/>
  <c r="BD158" i="4"/>
  <c r="AP158" i="4"/>
  <c r="AO158" i="4"/>
  <c r="AW158" i="4" s="1"/>
  <c r="AL158" i="4"/>
  <c r="AK158" i="4"/>
  <c r="AT157" i="4" s="1"/>
  <c r="AJ158" i="4"/>
  <c r="AH158" i="4"/>
  <c r="AG158" i="4"/>
  <c r="AF158" i="4"/>
  <c r="AE158" i="4"/>
  <c r="AD158" i="4"/>
  <c r="Z158" i="4"/>
  <c r="H158" i="4"/>
  <c r="H157" i="4"/>
  <c r="BJ156" i="4"/>
  <c r="BH156" i="4"/>
  <c r="AB156" i="4" s="1"/>
  <c r="BF156" i="4"/>
  <c r="BD156" i="4"/>
  <c r="AX156" i="4"/>
  <c r="AW156" i="4"/>
  <c r="AP156" i="4"/>
  <c r="BI156" i="4" s="1"/>
  <c r="AO156" i="4"/>
  <c r="AL156" i="4"/>
  <c r="AK156" i="4"/>
  <c r="AJ156" i="4"/>
  <c r="AH156" i="4"/>
  <c r="AG156" i="4"/>
  <c r="AF156" i="4"/>
  <c r="AE156" i="4"/>
  <c r="AD156" i="4"/>
  <c r="AC156" i="4"/>
  <c r="Z156" i="4"/>
  <c r="H156" i="4"/>
  <c r="BJ155" i="4"/>
  <c r="BI155" i="4"/>
  <c r="BF155" i="4"/>
  <c r="BD155" i="4"/>
  <c r="AW155" i="4"/>
  <c r="BC155" i="4" s="1"/>
  <c r="AP155" i="4"/>
  <c r="AX155" i="4" s="1"/>
  <c r="AO155" i="4"/>
  <c r="BH155" i="4" s="1"/>
  <c r="AB155" i="4" s="1"/>
  <c r="AL155" i="4"/>
  <c r="AK155" i="4"/>
  <c r="AJ155" i="4"/>
  <c r="AH155" i="4"/>
  <c r="AG155" i="4"/>
  <c r="AF155" i="4"/>
  <c r="AE155" i="4"/>
  <c r="AD155" i="4"/>
  <c r="AC155" i="4"/>
  <c r="Z155" i="4"/>
  <c r="H155" i="4"/>
  <c r="BJ154" i="4"/>
  <c r="BI154" i="4"/>
  <c r="AC154" i="4" s="1"/>
  <c r="BH154" i="4"/>
  <c r="BF154" i="4"/>
  <c r="BD154" i="4"/>
  <c r="AP154" i="4"/>
  <c r="AX154" i="4" s="1"/>
  <c r="AV154" i="4" s="1"/>
  <c r="AO154" i="4"/>
  <c r="AW154" i="4" s="1"/>
  <c r="AL154" i="4"/>
  <c r="AU152" i="4" s="1"/>
  <c r="AK154" i="4"/>
  <c r="AJ154" i="4"/>
  <c r="AS152" i="4" s="1"/>
  <c r="AH154" i="4"/>
  <c r="AG154" i="4"/>
  <c r="AF154" i="4"/>
  <c r="AE154" i="4"/>
  <c r="AD154" i="4"/>
  <c r="AB154" i="4"/>
  <c r="Z154" i="4"/>
  <c r="H154" i="4"/>
  <c r="BJ153" i="4"/>
  <c r="BH153" i="4"/>
  <c r="AB153" i="4" s="1"/>
  <c r="BF153" i="4"/>
  <c r="BD153" i="4"/>
  <c r="AP153" i="4"/>
  <c r="AO153" i="4"/>
  <c r="AW153" i="4" s="1"/>
  <c r="AL153" i="4"/>
  <c r="AJ153" i="4"/>
  <c r="AH153" i="4"/>
  <c r="AG153" i="4"/>
  <c r="AF153" i="4"/>
  <c r="AE153" i="4"/>
  <c r="AD153" i="4"/>
  <c r="Z153" i="4"/>
  <c r="H153" i="4"/>
  <c r="AK153" i="4" s="1"/>
  <c r="AT152" i="4" s="1"/>
  <c r="H152" i="4"/>
  <c r="BJ151" i="4"/>
  <c r="Z151" i="4" s="1"/>
  <c r="BH151" i="4"/>
  <c r="BF151" i="4"/>
  <c r="BD151" i="4"/>
  <c r="AX151" i="4"/>
  <c r="AW151" i="4"/>
  <c r="AP151" i="4"/>
  <c r="BI151" i="4" s="1"/>
  <c r="AO151" i="4"/>
  <c r="AL151" i="4"/>
  <c r="AK151" i="4"/>
  <c r="AJ151" i="4"/>
  <c r="AH151" i="4"/>
  <c r="AG151" i="4"/>
  <c r="AF151" i="4"/>
  <c r="AE151" i="4"/>
  <c r="AD151" i="4"/>
  <c r="AC151" i="4"/>
  <c r="AB151" i="4"/>
  <c r="H151" i="4"/>
  <c r="BJ150" i="4"/>
  <c r="BI150" i="4"/>
  <c r="BF150" i="4"/>
  <c r="BD150" i="4"/>
  <c r="AW150" i="4"/>
  <c r="BC150" i="4" s="1"/>
  <c r="AP150" i="4"/>
  <c r="AX150" i="4" s="1"/>
  <c r="AO150" i="4"/>
  <c r="BH150" i="4" s="1"/>
  <c r="AB150" i="4" s="1"/>
  <c r="AL150" i="4"/>
  <c r="AJ150" i="4"/>
  <c r="AH150" i="4"/>
  <c r="AG150" i="4"/>
  <c r="AF150" i="4"/>
  <c r="AE150" i="4"/>
  <c r="AD150" i="4"/>
  <c r="AC150" i="4"/>
  <c r="Z150" i="4"/>
  <c r="H150" i="4"/>
  <c r="AK150" i="4" s="1"/>
  <c r="BJ148" i="4"/>
  <c r="BH148" i="4"/>
  <c r="BF148" i="4"/>
  <c r="BD148" i="4"/>
  <c r="AP148" i="4"/>
  <c r="AX148" i="4" s="1"/>
  <c r="AO148" i="4"/>
  <c r="AW148" i="4" s="1"/>
  <c r="BC148" i="4" s="1"/>
  <c r="AL148" i="4"/>
  <c r="AK148" i="4"/>
  <c r="AJ148" i="4"/>
  <c r="AH148" i="4"/>
  <c r="AG148" i="4"/>
  <c r="AF148" i="4"/>
  <c r="AE148" i="4"/>
  <c r="AD148" i="4"/>
  <c r="AC148" i="4"/>
  <c r="AB148" i="4"/>
  <c r="Z148" i="4"/>
  <c r="H148" i="4"/>
  <c r="BJ146" i="4"/>
  <c r="Z146" i="4" s="1"/>
  <c r="BF146" i="4"/>
  <c r="BD146" i="4"/>
  <c r="AP146" i="4"/>
  <c r="AO146" i="4"/>
  <c r="AW146" i="4" s="1"/>
  <c r="AL146" i="4"/>
  <c r="AK146" i="4"/>
  <c r="AJ146" i="4"/>
  <c r="AH146" i="4"/>
  <c r="AG146" i="4"/>
  <c r="AF146" i="4"/>
  <c r="AE146" i="4"/>
  <c r="AD146" i="4"/>
  <c r="AC146" i="4"/>
  <c r="AB146" i="4"/>
  <c r="H146" i="4"/>
  <c r="BJ145" i="4"/>
  <c r="Z145" i="4" s="1"/>
  <c r="BI145" i="4"/>
  <c r="BF145" i="4"/>
  <c r="BD145" i="4"/>
  <c r="AX145" i="4"/>
  <c r="AP145" i="4"/>
  <c r="AO145" i="4"/>
  <c r="AL145" i="4"/>
  <c r="AJ145" i="4"/>
  <c r="AH145" i="4"/>
  <c r="AG145" i="4"/>
  <c r="AF145" i="4"/>
  <c r="AE145" i="4"/>
  <c r="AD145" i="4"/>
  <c r="AC145" i="4"/>
  <c r="AB145" i="4"/>
  <c r="H145" i="4"/>
  <c r="BJ144" i="4"/>
  <c r="Z144" i="4" s="1"/>
  <c r="BI144" i="4"/>
  <c r="BH144" i="4"/>
  <c r="BF144" i="4"/>
  <c r="BD144" i="4"/>
  <c r="BC144" i="4"/>
  <c r="AX144" i="4"/>
  <c r="AW144" i="4"/>
  <c r="AV144" i="4" s="1"/>
  <c r="AP144" i="4"/>
  <c r="AO144" i="4"/>
  <c r="AL144" i="4"/>
  <c r="AK144" i="4"/>
  <c r="AJ144" i="4"/>
  <c r="AH144" i="4"/>
  <c r="AG144" i="4"/>
  <c r="AF144" i="4"/>
  <c r="AE144" i="4"/>
  <c r="AD144" i="4"/>
  <c r="AC144" i="4"/>
  <c r="AB144" i="4"/>
  <c r="H144" i="4"/>
  <c r="BJ143" i="4"/>
  <c r="Z143" i="4" s="1"/>
  <c r="BI143" i="4"/>
  <c r="BH143" i="4"/>
  <c r="BF143" i="4"/>
  <c r="BD143" i="4"/>
  <c r="AX143" i="4"/>
  <c r="AV143" i="4" s="1"/>
  <c r="AW143" i="4"/>
  <c r="AP143" i="4"/>
  <c r="AO143" i="4"/>
  <c r="AL143" i="4"/>
  <c r="AK143" i="4"/>
  <c r="AJ143" i="4"/>
  <c r="AS142" i="4" s="1"/>
  <c r="AH143" i="4"/>
  <c r="AG143" i="4"/>
  <c r="AF143" i="4"/>
  <c r="AE143" i="4"/>
  <c r="AD143" i="4"/>
  <c r="AC143" i="4"/>
  <c r="AB143" i="4"/>
  <c r="H143" i="4"/>
  <c r="BJ141" i="4"/>
  <c r="BF141" i="4"/>
  <c r="BD141" i="4"/>
  <c r="AP141" i="4"/>
  <c r="AO141" i="4"/>
  <c r="AW141" i="4" s="1"/>
  <c r="AL141" i="4"/>
  <c r="AJ141" i="4"/>
  <c r="AH141" i="4"/>
  <c r="AG141" i="4"/>
  <c r="AF141" i="4"/>
  <c r="AE141" i="4"/>
  <c r="AD141" i="4"/>
  <c r="Z141" i="4"/>
  <c r="H141" i="4"/>
  <c r="AK141" i="4" s="1"/>
  <c r="BJ140" i="4"/>
  <c r="BI140" i="4"/>
  <c r="AC140" i="4" s="1"/>
  <c r="BF140" i="4"/>
  <c r="BD140" i="4"/>
  <c r="AX140" i="4"/>
  <c r="AP140" i="4"/>
  <c r="AO140" i="4"/>
  <c r="AL140" i="4"/>
  <c r="AJ140" i="4"/>
  <c r="AH140" i="4"/>
  <c r="AG140" i="4"/>
  <c r="AF140" i="4"/>
  <c r="AE140" i="4"/>
  <c r="AD140" i="4"/>
  <c r="Z140" i="4"/>
  <c r="H140" i="4"/>
  <c r="AK140" i="4" s="1"/>
  <c r="BJ139" i="4"/>
  <c r="BI139" i="4"/>
  <c r="BH139" i="4"/>
  <c r="AB139" i="4" s="1"/>
  <c r="BF139" i="4"/>
  <c r="BD139" i="4"/>
  <c r="BC139" i="4"/>
  <c r="AX139" i="4"/>
  <c r="AW139" i="4"/>
  <c r="AV139" i="4" s="1"/>
  <c r="AP139" i="4"/>
  <c r="AO139" i="4"/>
  <c r="AL139" i="4"/>
  <c r="AK139" i="4"/>
  <c r="AJ139" i="4"/>
  <c r="AH139" i="4"/>
  <c r="AG139" i="4"/>
  <c r="AF139" i="4"/>
  <c r="AE139" i="4"/>
  <c r="AD139" i="4"/>
  <c r="AC139" i="4"/>
  <c r="Z139" i="4"/>
  <c r="H139" i="4"/>
  <c r="BJ138" i="4"/>
  <c r="BI138" i="4"/>
  <c r="AC138" i="4" s="1"/>
  <c r="BH138" i="4"/>
  <c r="BF138" i="4"/>
  <c r="BD138" i="4"/>
  <c r="BC138" i="4"/>
  <c r="AX138" i="4"/>
  <c r="AV138" i="4" s="1"/>
  <c r="AW138" i="4"/>
  <c r="AP138" i="4"/>
  <c r="AO138" i="4"/>
  <c r="AL138" i="4"/>
  <c r="AK138" i="4"/>
  <c r="AJ138" i="4"/>
  <c r="AH138" i="4"/>
  <c r="AG138" i="4"/>
  <c r="AF138" i="4"/>
  <c r="AE138" i="4"/>
  <c r="AD138" i="4"/>
  <c r="AB138" i="4"/>
  <c r="Z138" i="4"/>
  <c r="H138" i="4"/>
  <c r="BJ137" i="4"/>
  <c r="BI137" i="4"/>
  <c r="AC137" i="4" s="1"/>
  <c r="BH137" i="4"/>
  <c r="AB137" i="4" s="1"/>
  <c r="BF137" i="4"/>
  <c r="BD137" i="4"/>
  <c r="AX137" i="4"/>
  <c r="AW137" i="4"/>
  <c r="AP137" i="4"/>
  <c r="AO137" i="4"/>
  <c r="AL137" i="4"/>
  <c r="AK137" i="4"/>
  <c r="AJ137" i="4"/>
  <c r="AH137" i="4"/>
  <c r="AG137" i="4"/>
  <c r="AF137" i="4"/>
  <c r="AE137" i="4"/>
  <c r="AD137" i="4"/>
  <c r="Z137" i="4"/>
  <c r="H137" i="4"/>
  <c r="BJ136" i="4"/>
  <c r="BH136" i="4"/>
  <c r="BF136" i="4"/>
  <c r="BD136" i="4"/>
  <c r="AX136" i="4"/>
  <c r="AW136" i="4"/>
  <c r="BC136" i="4" s="1"/>
  <c r="AV136" i="4"/>
  <c r="AP136" i="4"/>
  <c r="BI136" i="4" s="1"/>
  <c r="AO136" i="4"/>
  <c r="AL136" i="4"/>
  <c r="AJ136" i="4"/>
  <c r="AH136" i="4"/>
  <c r="AG136" i="4"/>
  <c r="AF136" i="4"/>
  <c r="AE136" i="4"/>
  <c r="AD136" i="4"/>
  <c r="AC136" i="4"/>
  <c r="AB136" i="4"/>
  <c r="Z136" i="4"/>
  <c r="H136" i="4"/>
  <c r="AK136" i="4" s="1"/>
  <c r="BJ135" i="4"/>
  <c r="BF135" i="4"/>
  <c r="BD135" i="4"/>
  <c r="AW135" i="4"/>
  <c r="AP135" i="4"/>
  <c r="BI135" i="4" s="1"/>
  <c r="AC135" i="4" s="1"/>
  <c r="AO135" i="4"/>
  <c r="BH135" i="4" s="1"/>
  <c r="AB135" i="4" s="1"/>
  <c r="AL135" i="4"/>
  <c r="AJ135" i="4"/>
  <c r="AH135" i="4"/>
  <c r="AG135" i="4"/>
  <c r="AF135" i="4"/>
  <c r="AE135" i="4"/>
  <c r="AD135" i="4"/>
  <c r="Z135" i="4"/>
  <c r="H135" i="4"/>
  <c r="AK135" i="4" s="1"/>
  <c r="BJ134" i="4"/>
  <c r="BF134" i="4"/>
  <c r="BD134" i="4"/>
  <c r="AW134" i="4"/>
  <c r="AP134" i="4"/>
  <c r="AO134" i="4"/>
  <c r="BH134" i="4" s="1"/>
  <c r="AB134" i="4" s="1"/>
  <c r="AL134" i="4"/>
  <c r="AJ134" i="4"/>
  <c r="AH134" i="4"/>
  <c r="AG134" i="4"/>
  <c r="AF134" i="4"/>
  <c r="AE134" i="4"/>
  <c r="AD134" i="4"/>
  <c r="Z134" i="4"/>
  <c r="H134" i="4"/>
  <c r="AK134" i="4" s="1"/>
  <c r="BJ133" i="4"/>
  <c r="BI133" i="4"/>
  <c r="AC133" i="4" s="1"/>
  <c r="BF133" i="4"/>
  <c r="BD133" i="4"/>
  <c r="AX133" i="4"/>
  <c r="AP133" i="4"/>
  <c r="AO133" i="4"/>
  <c r="AL133" i="4"/>
  <c r="AJ133" i="4"/>
  <c r="AH133" i="4"/>
  <c r="AG133" i="4"/>
  <c r="AF133" i="4"/>
  <c r="AE133" i="4"/>
  <c r="AD133" i="4"/>
  <c r="Z133" i="4"/>
  <c r="H133" i="4"/>
  <c r="AK133" i="4" s="1"/>
  <c r="BJ132" i="4"/>
  <c r="BH132" i="4"/>
  <c r="AB132" i="4" s="1"/>
  <c r="BF132" i="4"/>
  <c r="BD132" i="4"/>
  <c r="AX132" i="4"/>
  <c r="AW132" i="4"/>
  <c r="AP132" i="4"/>
  <c r="BI132" i="4" s="1"/>
  <c r="AO132" i="4"/>
  <c r="AL132" i="4"/>
  <c r="AK132" i="4"/>
  <c r="AJ132" i="4"/>
  <c r="AH132" i="4"/>
  <c r="AG132" i="4"/>
  <c r="AF132" i="4"/>
  <c r="AE132" i="4"/>
  <c r="AD132" i="4"/>
  <c r="AC132" i="4"/>
  <c r="Z132" i="4"/>
  <c r="H132" i="4"/>
  <c r="BJ131" i="4"/>
  <c r="BI131" i="4"/>
  <c r="BF131" i="4"/>
  <c r="BD131" i="4"/>
  <c r="AW131" i="4"/>
  <c r="BC131" i="4" s="1"/>
  <c r="AP131" i="4"/>
  <c r="AX131" i="4" s="1"/>
  <c r="AO131" i="4"/>
  <c r="BH131" i="4" s="1"/>
  <c r="AB131" i="4" s="1"/>
  <c r="AL131" i="4"/>
  <c r="AK131" i="4"/>
  <c r="AJ131" i="4"/>
  <c r="AH131" i="4"/>
  <c r="AG131" i="4"/>
  <c r="AF131" i="4"/>
  <c r="AE131" i="4"/>
  <c r="AD131" i="4"/>
  <c r="AC131" i="4"/>
  <c r="Z131" i="4"/>
  <c r="H131" i="4"/>
  <c r="BJ130" i="4"/>
  <c r="BI130" i="4"/>
  <c r="AC130" i="4" s="1"/>
  <c r="BH130" i="4"/>
  <c r="BF130" i="4"/>
  <c r="BD130" i="4"/>
  <c r="AP130" i="4"/>
  <c r="AX130" i="4" s="1"/>
  <c r="AV130" i="4" s="1"/>
  <c r="AO130" i="4"/>
  <c r="AW130" i="4" s="1"/>
  <c r="AL130" i="4"/>
  <c r="AK130" i="4"/>
  <c r="AJ130" i="4"/>
  <c r="AS117" i="4" s="1"/>
  <c r="AH130" i="4"/>
  <c r="AG130" i="4"/>
  <c r="AF130" i="4"/>
  <c r="AE130" i="4"/>
  <c r="AD130" i="4"/>
  <c r="AB130" i="4"/>
  <c r="Z130" i="4"/>
  <c r="H130" i="4"/>
  <c r="BJ129" i="4"/>
  <c r="BH129" i="4"/>
  <c r="AB129" i="4" s="1"/>
  <c r="BF129" i="4"/>
  <c r="BD129" i="4"/>
  <c r="AP129" i="4"/>
  <c r="AO129" i="4"/>
  <c r="AW129" i="4" s="1"/>
  <c r="AL129" i="4"/>
  <c r="AJ129" i="4"/>
  <c r="AH129" i="4"/>
  <c r="AG129" i="4"/>
  <c r="AF129" i="4"/>
  <c r="AE129" i="4"/>
  <c r="AD129" i="4"/>
  <c r="Z129" i="4"/>
  <c r="H129" i="4"/>
  <c r="AK129" i="4" s="1"/>
  <c r="BJ128" i="4"/>
  <c r="BI128" i="4"/>
  <c r="AC128" i="4" s="1"/>
  <c r="BF128" i="4"/>
  <c r="BD128" i="4"/>
  <c r="AX128" i="4"/>
  <c r="AP128" i="4"/>
  <c r="AO128" i="4"/>
  <c r="AL128" i="4"/>
  <c r="AJ128" i="4"/>
  <c r="AH128" i="4"/>
  <c r="AG128" i="4"/>
  <c r="AF128" i="4"/>
  <c r="AE128" i="4"/>
  <c r="AD128" i="4"/>
  <c r="Z128" i="4"/>
  <c r="H128" i="4"/>
  <c r="AK128" i="4" s="1"/>
  <c r="BJ127" i="4"/>
  <c r="BH127" i="4"/>
  <c r="AB127" i="4" s="1"/>
  <c r="BF127" i="4"/>
  <c r="BD127" i="4"/>
  <c r="AW127" i="4"/>
  <c r="AV127" i="4" s="1"/>
  <c r="AP127" i="4"/>
  <c r="AX127" i="4" s="1"/>
  <c r="BC127" i="4" s="1"/>
  <c r="AO127" i="4"/>
  <c r="AL127" i="4"/>
  <c r="AK127" i="4"/>
  <c r="AJ127" i="4"/>
  <c r="AH127" i="4"/>
  <c r="AG127" i="4"/>
  <c r="AF127" i="4"/>
  <c r="AE127" i="4"/>
  <c r="AD127" i="4"/>
  <c r="Z127" i="4"/>
  <c r="H127" i="4"/>
  <c r="BJ126" i="4"/>
  <c r="BI126" i="4"/>
  <c r="AC126" i="4" s="1"/>
  <c r="BF126" i="4"/>
  <c r="BD126" i="4"/>
  <c r="BC126" i="4"/>
  <c r="AX126" i="4"/>
  <c r="AP126" i="4"/>
  <c r="AO126" i="4"/>
  <c r="AW126" i="4" s="1"/>
  <c r="AV126" i="4" s="1"/>
  <c r="AL126" i="4"/>
  <c r="AK126" i="4"/>
  <c r="AJ126" i="4"/>
  <c r="AH126" i="4"/>
  <c r="AG126" i="4"/>
  <c r="AF126" i="4"/>
  <c r="AE126" i="4"/>
  <c r="AD126" i="4"/>
  <c r="Z126" i="4"/>
  <c r="H126" i="4"/>
  <c r="BJ125" i="4"/>
  <c r="BI125" i="4"/>
  <c r="AC125" i="4" s="1"/>
  <c r="BH125" i="4"/>
  <c r="AB125" i="4" s="1"/>
  <c r="BF125" i="4"/>
  <c r="BD125" i="4"/>
  <c r="AX125" i="4"/>
  <c r="AW125" i="4"/>
  <c r="AP125" i="4"/>
  <c r="AO125" i="4"/>
  <c r="AL125" i="4"/>
  <c r="AK125" i="4"/>
  <c r="AJ125" i="4"/>
  <c r="AH125" i="4"/>
  <c r="AG125" i="4"/>
  <c r="AF125" i="4"/>
  <c r="AE125" i="4"/>
  <c r="AD125" i="4"/>
  <c r="Z125" i="4"/>
  <c r="H125" i="4"/>
  <c r="BJ124" i="4"/>
  <c r="BH124" i="4"/>
  <c r="AB124" i="4" s="1"/>
  <c r="BF124" i="4"/>
  <c r="BD124" i="4"/>
  <c r="AX124" i="4"/>
  <c r="AW124" i="4"/>
  <c r="BC124" i="4" s="1"/>
  <c r="AP124" i="4"/>
  <c r="BI124" i="4" s="1"/>
  <c r="AO124" i="4"/>
  <c r="AL124" i="4"/>
  <c r="AJ124" i="4"/>
  <c r="AH124" i="4"/>
  <c r="AG124" i="4"/>
  <c r="AF124" i="4"/>
  <c r="AE124" i="4"/>
  <c r="AD124" i="4"/>
  <c r="AC124" i="4"/>
  <c r="Z124" i="4"/>
  <c r="H124" i="4"/>
  <c r="AK124" i="4" s="1"/>
  <c r="BJ123" i="4"/>
  <c r="BF123" i="4"/>
  <c r="BD123" i="4"/>
  <c r="AX123" i="4"/>
  <c r="AW123" i="4"/>
  <c r="BC123" i="4" s="1"/>
  <c r="AV123" i="4"/>
  <c r="AP123" i="4"/>
  <c r="BI123" i="4" s="1"/>
  <c r="AC123" i="4" s="1"/>
  <c r="AO123" i="4"/>
  <c r="BH123" i="4" s="1"/>
  <c r="AL123" i="4"/>
  <c r="AJ123" i="4"/>
  <c r="AH123" i="4"/>
  <c r="AG123" i="4"/>
  <c r="AF123" i="4"/>
  <c r="AE123" i="4"/>
  <c r="AD123" i="4"/>
  <c r="AB123" i="4"/>
  <c r="Z123" i="4"/>
  <c r="H123" i="4"/>
  <c r="AK123" i="4" s="1"/>
  <c r="BJ122" i="4"/>
  <c r="BF122" i="4"/>
  <c r="BD122" i="4"/>
  <c r="AP122" i="4"/>
  <c r="AO122" i="4"/>
  <c r="BH122" i="4" s="1"/>
  <c r="AB122" i="4" s="1"/>
  <c r="AL122" i="4"/>
  <c r="AJ122" i="4"/>
  <c r="AH122" i="4"/>
  <c r="AG122" i="4"/>
  <c r="AF122" i="4"/>
  <c r="AE122" i="4"/>
  <c r="AD122" i="4"/>
  <c r="Z122" i="4"/>
  <c r="H122" i="4"/>
  <c r="AK122" i="4" s="1"/>
  <c r="BJ121" i="4"/>
  <c r="BI121" i="4"/>
  <c r="AC121" i="4" s="1"/>
  <c r="BF121" i="4"/>
  <c r="BD121" i="4"/>
  <c r="AX121" i="4"/>
  <c r="AP121" i="4"/>
  <c r="AO121" i="4"/>
  <c r="AL121" i="4"/>
  <c r="AJ121" i="4"/>
  <c r="AH121" i="4"/>
  <c r="AG121" i="4"/>
  <c r="AF121" i="4"/>
  <c r="AE121" i="4"/>
  <c r="AD121" i="4"/>
  <c r="Z121" i="4"/>
  <c r="H121" i="4"/>
  <c r="AK121" i="4" s="1"/>
  <c r="BJ120" i="4"/>
  <c r="BH120" i="4"/>
  <c r="AB120" i="4" s="1"/>
  <c r="BF120" i="4"/>
  <c r="BD120" i="4"/>
  <c r="AW120" i="4"/>
  <c r="AP120" i="4"/>
  <c r="BI120" i="4" s="1"/>
  <c r="AC120" i="4" s="1"/>
  <c r="AO120" i="4"/>
  <c r="AL120" i="4"/>
  <c r="AK120" i="4"/>
  <c r="AJ120" i="4"/>
  <c r="AH120" i="4"/>
  <c r="AG120" i="4"/>
  <c r="AF120" i="4"/>
  <c r="AE120" i="4"/>
  <c r="AD120" i="4"/>
  <c r="Z120" i="4"/>
  <c r="H120" i="4"/>
  <c r="BJ118" i="4"/>
  <c r="BI118" i="4"/>
  <c r="BF118" i="4"/>
  <c r="BD118" i="4"/>
  <c r="AW118" i="4"/>
  <c r="BC118" i="4" s="1"/>
  <c r="AP118" i="4"/>
  <c r="AX118" i="4" s="1"/>
  <c r="AO118" i="4"/>
  <c r="BH118" i="4" s="1"/>
  <c r="AB118" i="4" s="1"/>
  <c r="AL118" i="4"/>
  <c r="AJ118" i="4"/>
  <c r="AH118" i="4"/>
  <c r="AG118" i="4"/>
  <c r="AF118" i="4"/>
  <c r="AE118" i="4"/>
  <c r="AD118" i="4"/>
  <c r="AC118" i="4"/>
  <c r="Z118" i="4"/>
  <c r="H118" i="4"/>
  <c r="AK118" i="4" s="1"/>
  <c r="BJ116" i="4"/>
  <c r="BF116" i="4"/>
  <c r="BD116" i="4"/>
  <c r="AP116" i="4"/>
  <c r="AO116" i="4"/>
  <c r="BH116" i="4" s="1"/>
  <c r="AL116" i="4"/>
  <c r="AJ116" i="4"/>
  <c r="AH116" i="4"/>
  <c r="AG116" i="4"/>
  <c r="AF116" i="4"/>
  <c r="AE116" i="4"/>
  <c r="AD116" i="4"/>
  <c r="AC116" i="4"/>
  <c r="AB116" i="4"/>
  <c r="Z116" i="4"/>
  <c r="H116" i="4"/>
  <c r="AU115" i="4"/>
  <c r="AS115" i="4"/>
  <c r="BJ113" i="4"/>
  <c r="BI113" i="4"/>
  <c r="AC113" i="4" s="1"/>
  <c r="BH113" i="4"/>
  <c r="AB113" i="4" s="1"/>
  <c r="BF113" i="4"/>
  <c r="BD113" i="4"/>
  <c r="AX113" i="4"/>
  <c r="AW113" i="4"/>
  <c r="AP113" i="4"/>
  <c r="AO113" i="4"/>
  <c r="AL113" i="4"/>
  <c r="AJ113" i="4"/>
  <c r="AS112" i="4" s="1"/>
  <c r="AH113" i="4"/>
  <c r="AG113" i="4"/>
  <c r="AF113" i="4"/>
  <c r="AE113" i="4"/>
  <c r="AD113" i="4"/>
  <c r="Z113" i="4"/>
  <c r="H113" i="4"/>
  <c r="AK113" i="4" s="1"/>
  <c r="AT112" i="4" s="1"/>
  <c r="AU112" i="4"/>
  <c r="H112" i="4"/>
  <c r="BJ110" i="4"/>
  <c r="BI110" i="4"/>
  <c r="AC110" i="4" s="1"/>
  <c r="BF110" i="4"/>
  <c r="BD110" i="4"/>
  <c r="AX110" i="4"/>
  <c r="AP110" i="4"/>
  <c r="AO110" i="4"/>
  <c r="AL110" i="4"/>
  <c r="AJ110" i="4"/>
  <c r="AH110" i="4"/>
  <c r="AG110" i="4"/>
  <c r="AF110" i="4"/>
  <c r="AE110" i="4"/>
  <c r="AD110" i="4"/>
  <c r="Z110" i="4"/>
  <c r="H110" i="4"/>
  <c r="AK110" i="4" s="1"/>
  <c r="BJ109" i="4"/>
  <c r="BH109" i="4"/>
  <c r="AB109" i="4" s="1"/>
  <c r="BF109" i="4"/>
  <c r="BD109" i="4"/>
  <c r="AW109" i="4"/>
  <c r="AV109" i="4" s="1"/>
  <c r="AP109" i="4"/>
  <c r="AX109" i="4" s="1"/>
  <c r="BC109" i="4" s="1"/>
  <c r="AO109" i="4"/>
  <c r="AL109" i="4"/>
  <c r="AK109" i="4"/>
  <c r="AJ109" i="4"/>
  <c r="AH109" i="4"/>
  <c r="AG109" i="4"/>
  <c r="AF109" i="4"/>
  <c r="AE109" i="4"/>
  <c r="AD109" i="4"/>
  <c r="Z109" i="4"/>
  <c r="H109" i="4"/>
  <c r="BJ108" i="4"/>
  <c r="BI108" i="4"/>
  <c r="AC108" i="4" s="1"/>
  <c r="BF108" i="4"/>
  <c r="BD108" i="4"/>
  <c r="AX108" i="4"/>
  <c r="AP108" i="4"/>
  <c r="AO108" i="4"/>
  <c r="AW108" i="4" s="1"/>
  <c r="AL108" i="4"/>
  <c r="AK108" i="4"/>
  <c r="AJ108" i="4"/>
  <c r="AH108" i="4"/>
  <c r="AG108" i="4"/>
  <c r="AF108" i="4"/>
  <c r="AE108" i="4"/>
  <c r="AD108" i="4"/>
  <c r="Z108" i="4"/>
  <c r="H108" i="4"/>
  <c r="BJ106" i="4"/>
  <c r="BI106" i="4"/>
  <c r="AC106" i="4" s="1"/>
  <c r="BH106" i="4"/>
  <c r="AB106" i="4" s="1"/>
  <c r="BF106" i="4"/>
  <c r="BD106" i="4"/>
  <c r="AX106" i="4"/>
  <c r="AW106" i="4"/>
  <c r="AP106" i="4"/>
  <c r="AO106" i="4"/>
  <c r="AL106" i="4"/>
  <c r="AJ106" i="4"/>
  <c r="AH106" i="4"/>
  <c r="AG106" i="4"/>
  <c r="AF106" i="4"/>
  <c r="AE106" i="4"/>
  <c r="AD106" i="4"/>
  <c r="Z106" i="4"/>
  <c r="H106" i="4"/>
  <c r="AK106" i="4" s="1"/>
  <c r="BJ105" i="4"/>
  <c r="BH105" i="4"/>
  <c r="AB105" i="4" s="1"/>
  <c r="BF105" i="4"/>
  <c r="BD105" i="4"/>
  <c r="BC105" i="4"/>
  <c r="AX105" i="4"/>
  <c r="AW105" i="4"/>
  <c r="AV105" i="4" s="1"/>
  <c r="AP105" i="4"/>
  <c r="BI105" i="4" s="1"/>
  <c r="AC105" i="4" s="1"/>
  <c r="AO105" i="4"/>
  <c r="AL105" i="4"/>
  <c r="AJ105" i="4"/>
  <c r="AH105" i="4"/>
  <c r="AG105" i="4"/>
  <c r="AF105" i="4"/>
  <c r="AE105" i="4"/>
  <c r="AD105" i="4"/>
  <c r="Z105" i="4"/>
  <c r="H105" i="4"/>
  <c r="AK105" i="4" s="1"/>
  <c r="BJ103" i="4"/>
  <c r="BH103" i="4"/>
  <c r="AB103" i="4" s="1"/>
  <c r="BF103" i="4"/>
  <c r="BD103" i="4"/>
  <c r="AW103" i="4"/>
  <c r="AP103" i="4"/>
  <c r="AX103" i="4" s="1"/>
  <c r="BC103" i="4" s="1"/>
  <c r="AO103" i="4"/>
  <c r="AL103" i="4"/>
  <c r="AU98" i="4" s="1"/>
  <c r="AK103" i="4"/>
  <c r="AJ103" i="4"/>
  <c r="AH103" i="4"/>
  <c r="AG103" i="4"/>
  <c r="AF103" i="4"/>
  <c r="AE103" i="4"/>
  <c r="AD103" i="4"/>
  <c r="Z103" i="4"/>
  <c r="H103" i="4"/>
  <c r="BJ102" i="4"/>
  <c r="BI102" i="4"/>
  <c r="AC102" i="4" s="1"/>
  <c r="BF102" i="4"/>
  <c r="BD102" i="4"/>
  <c r="BC102" i="4"/>
  <c r="AX102" i="4"/>
  <c r="AP102" i="4"/>
  <c r="AO102" i="4"/>
  <c r="AW102" i="4" s="1"/>
  <c r="AV102" i="4" s="1"/>
  <c r="AL102" i="4"/>
  <c r="AK102" i="4"/>
  <c r="AJ102" i="4"/>
  <c r="AH102" i="4"/>
  <c r="AG102" i="4"/>
  <c r="AF102" i="4"/>
  <c r="AE102" i="4"/>
  <c r="AD102" i="4"/>
  <c r="Z102" i="4"/>
  <c r="H102" i="4"/>
  <c r="BJ101" i="4"/>
  <c r="BI101" i="4"/>
  <c r="AC101" i="4" s="1"/>
  <c r="BH101" i="4"/>
  <c r="AB101" i="4" s="1"/>
  <c r="BF101" i="4"/>
  <c r="BD101" i="4"/>
  <c r="AX101" i="4"/>
  <c r="AW101" i="4"/>
  <c r="AP101" i="4"/>
  <c r="AO101" i="4"/>
  <c r="AL101" i="4"/>
  <c r="AJ101" i="4"/>
  <c r="AS98" i="4" s="1"/>
  <c r="AH101" i="4"/>
  <c r="AG101" i="4"/>
  <c r="AF101" i="4"/>
  <c r="AE101" i="4"/>
  <c r="AD101" i="4"/>
  <c r="Z101" i="4"/>
  <c r="H101" i="4"/>
  <c r="AK101" i="4" s="1"/>
  <c r="BJ100" i="4"/>
  <c r="BH100" i="4"/>
  <c r="BF100" i="4"/>
  <c r="BD100" i="4"/>
  <c r="AX100" i="4"/>
  <c r="AW100" i="4"/>
  <c r="BC100" i="4" s="1"/>
  <c r="AV100" i="4"/>
  <c r="AP100" i="4"/>
  <c r="BI100" i="4" s="1"/>
  <c r="AC100" i="4" s="1"/>
  <c r="AO100" i="4"/>
  <c r="AL100" i="4"/>
  <c r="AJ100" i="4"/>
  <c r="AH100" i="4"/>
  <c r="AG100" i="4"/>
  <c r="AF100" i="4"/>
  <c r="AE100" i="4"/>
  <c r="AD100" i="4"/>
  <c r="AB100" i="4"/>
  <c r="Z100" i="4"/>
  <c r="H100" i="4"/>
  <c r="AK100" i="4" s="1"/>
  <c r="BJ99" i="4"/>
  <c r="BF99" i="4"/>
  <c r="BD99" i="4"/>
  <c r="AW99" i="4"/>
  <c r="AP99" i="4"/>
  <c r="BI99" i="4" s="1"/>
  <c r="AC99" i="4" s="1"/>
  <c r="AO99" i="4"/>
  <c r="BH99" i="4" s="1"/>
  <c r="AL99" i="4"/>
  <c r="AJ99" i="4"/>
  <c r="AH99" i="4"/>
  <c r="AG99" i="4"/>
  <c r="AF99" i="4"/>
  <c r="AE99" i="4"/>
  <c r="AD99" i="4"/>
  <c r="AB99" i="4"/>
  <c r="Z99" i="4"/>
  <c r="H99" i="4"/>
  <c r="AK99" i="4" s="1"/>
  <c r="BJ97" i="4"/>
  <c r="BI97" i="4"/>
  <c r="AC97" i="4" s="1"/>
  <c r="BF97" i="4"/>
  <c r="BD97" i="4"/>
  <c r="AX97" i="4"/>
  <c r="BC97" i="4" s="1"/>
  <c r="AP97" i="4"/>
  <c r="AO97" i="4"/>
  <c r="AW97" i="4" s="1"/>
  <c r="AL97" i="4"/>
  <c r="AK97" i="4"/>
  <c r="AT96" i="4" s="1"/>
  <c r="AJ97" i="4"/>
  <c r="AH97" i="4"/>
  <c r="AG97" i="4"/>
  <c r="AF97" i="4"/>
  <c r="AE97" i="4"/>
  <c r="AD97" i="4"/>
  <c r="Z97" i="4"/>
  <c r="H97" i="4"/>
  <c r="H96" i="4" s="1"/>
  <c r="L27" i="1" s="1"/>
  <c r="N27" i="1" s="1"/>
  <c r="AU96" i="4"/>
  <c r="AS96" i="4"/>
  <c r="BJ95" i="4"/>
  <c r="BF95" i="4"/>
  <c r="BD95" i="4"/>
  <c r="AP95" i="4"/>
  <c r="AO95" i="4"/>
  <c r="AW95" i="4" s="1"/>
  <c r="AL95" i="4"/>
  <c r="AK95" i="4"/>
  <c r="AT94" i="4" s="1"/>
  <c r="AJ95" i="4"/>
  <c r="AH95" i="4"/>
  <c r="AG95" i="4"/>
  <c r="AF95" i="4"/>
  <c r="AE95" i="4"/>
  <c r="AD95" i="4"/>
  <c r="Z95" i="4"/>
  <c r="H95" i="4"/>
  <c r="AU94" i="4"/>
  <c r="AS94" i="4"/>
  <c r="H94" i="4"/>
  <c r="BJ93" i="4"/>
  <c r="BF93" i="4"/>
  <c r="BD93" i="4"/>
  <c r="AX93" i="4"/>
  <c r="AW93" i="4"/>
  <c r="AP93" i="4"/>
  <c r="BI93" i="4" s="1"/>
  <c r="AE93" i="4" s="1"/>
  <c r="AO93" i="4"/>
  <c r="BH93" i="4" s="1"/>
  <c r="AD93" i="4" s="1"/>
  <c r="AL93" i="4"/>
  <c r="AK93" i="4"/>
  <c r="AJ93" i="4"/>
  <c r="AH93" i="4"/>
  <c r="AG93" i="4"/>
  <c r="AF93" i="4"/>
  <c r="AC93" i="4"/>
  <c r="AB93" i="4"/>
  <c r="Z93" i="4"/>
  <c r="H93" i="4"/>
  <c r="BJ92" i="4"/>
  <c r="BI92" i="4"/>
  <c r="AE92" i="4" s="1"/>
  <c r="BF92" i="4"/>
  <c r="BD92" i="4"/>
  <c r="AW92" i="4"/>
  <c r="AP92" i="4"/>
  <c r="AX92" i="4" s="1"/>
  <c r="AV92" i="4" s="1"/>
  <c r="AO92" i="4"/>
  <c r="BH92" i="4" s="1"/>
  <c r="AD92" i="4" s="1"/>
  <c r="AL92" i="4"/>
  <c r="AK92" i="4"/>
  <c r="AJ92" i="4"/>
  <c r="AH92" i="4"/>
  <c r="AG92" i="4"/>
  <c r="AF92" i="4"/>
  <c r="AC92" i="4"/>
  <c r="AB92" i="4"/>
  <c r="Z92" i="4"/>
  <c r="H92" i="4"/>
  <c r="BJ91" i="4"/>
  <c r="BH91" i="4"/>
  <c r="AD91" i="4" s="1"/>
  <c r="BF91" i="4"/>
  <c r="BD91" i="4"/>
  <c r="AP91" i="4"/>
  <c r="AX91" i="4" s="1"/>
  <c r="AO91" i="4"/>
  <c r="AW91" i="4" s="1"/>
  <c r="BC91" i="4" s="1"/>
  <c r="AL91" i="4"/>
  <c r="AK91" i="4"/>
  <c r="AJ91" i="4"/>
  <c r="AH91" i="4"/>
  <c r="AG91" i="4"/>
  <c r="AF91" i="4"/>
  <c r="AC91" i="4"/>
  <c r="AB91" i="4"/>
  <c r="Z91" i="4"/>
  <c r="H91" i="4"/>
  <c r="BJ90" i="4"/>
  <c r="BF90" i="4"/>
  <c r="BD90" i="4"/>
  <c r="AP90" i="4"/>
  <c r="AO90" i="4"/>
  <c r="AW90" i="4" s="1"/>
  <c r="AL90" i="4"/>
  <c r="AJ90" i="4"/>
  <c r="AH90" i="4"/>
  <c r="AG90" i="4"/>
  <c r="AF90" i="4"/>
  <c r="AC90" i="4"/>
  <c r="AB90" i="4"/>
  <c r="Z90" i="4"/>
  <c r="H90" i="4"/>
  <c r="AK90" i="4" s="1"/>
  <c r="BJ88" i="4"/>
  <c r="BI88" i="4"/>
  <c r="AE88" i="4" s="1"/>
  <c r="BF88" i="4"/>
  <c r="BD88" i="4"/>
  <c r="AX88" i="4"/>
  <c r="AP88" i="4"/>
  <c r="AO88" i="4"/>
  <c r="AL88" i="4"/>
  <c r="AJ88" i="4"/>
  <c r="AH88" i="4"/>
  <c r="AG88" i="4"/>
  <c r="AF88" i="4"/>
  <c r="AC88" i="4"/>
  <c r="AB88" i="4"/>
  <c r="Z88" i="4"/>
  <c r="H88" i="4"/>
  <c r="AK88" i="4" s="1"/>
  <c r="BJ87" i="4"/>
  <c r="BH87" i="4"/>
  <c r="AD87" i="4" s="1"/>
  <c r="BF87" i="4"/>
  <c r="BD87" i="4"/>
  <c r="AW87" i="4"/>
  <c r="AV87" i="4" s="1"/>
  <c r="AP87" i="4"/>
  <c r="AX87" i="4" s="1"/>
  <c r="BC87" i="4" s="1"/>
  <c r="AO87" i="4"/>
  <c r="AL87" i="4"/>
  <c r="AK87" i="4"/>
  <c r="AT85" i="4" s="1"/>
  <c r="AJ87" i="4"/>
  <c r="AH87" i="4"/>
  <c r="AG87" i="4"/>
  <c r="AF87" i="4"/>
  <c r="AC87" i="4"/>
  <c r="AB87" i="4"/>
  <c r="Z87" i="4"/>
  <c r="H87" i="4"/>
  <c r="BJ86" i="4"/>
  <c r="BI86" i="4"/>
  <c r="BF86" i="4"/>
  <c r="BD86" i="4"/>
  <c r="AX86" i="4"/>
  <c r="AP86" i="4"/>
  <c r="AO86" i="4"/>
  <c r="AW86" i="4" s="1"/>
  <c r="AV86" i="4" s="1"/>
  <c r="AL86" i="4"/>
  <c r="AK86" i="4"/>
  <c r="AJ86" i="4"/>
  <c r="AS85" i="4" s="1"/>
  <c r="AH86" i="4"/>
  <c r="AG86" i="4"/>
  <c r="AF86" i="4"/>
  <c r="AE86" i="4"/>
  <c r="AC86" i="4"/>
  <c r="AB86" i="4"/>
  <c r="Z86" i="4"/>
  <c r="H86" i="4"/>
  <c r="BJ84" i="4"/>
  <c r="BF84" i="4"/>
  <c r="BD84" i="4"/>
  <c r="AP84" i="4"/>
  <c r="AO84" i="4"/>
  <c r="AW84" i="4" s="1"/>
  <c r="AL84" i="4"/>
  <c r="AJ84" i="4"/>
  <c r="AH84" i="4"/>
  <c r="AG84" i="4"/>
  <c r="AF84" i="4"/>
  <c r="AC84" i="4"/>
  <c r="AB84" i="4"/>
  <c r="Z84" i="4"/>
  <c r="H84" i="4"/>
  <c r="AK84" i="4" s="1"/>
  <c r="AT83" i="4" s="1"/>
  <c r="AU83" i="4"/>
  <c r="AS83" i="4"/>
  <c r="BJ82" i="4"/>
  <c r="Z82" i="4" s="1"/>
  <c r="BF82" i="4"/>
  <c r="BD82" i="4"/>
  <c r="AW82" i="4"/>
  <c r="AP82" i="4"/>
  <c r="BI82" i="4" s="1"/>
  <c r="AO82" i="4"/>
  <c r="BH82" i="4" s="1"/>
  <c r="AL82" i="4"/>
  <c r="AK82" i="4"/>
  <c r="AJ82" i="4"/>
  <c r="AH82" i="4"/>
  <c r="AG82" i="4"/>
  <c r="AF82" i="4"/>
  <c r="AE82" i="4"/>
  <c r="AD82" i="4"/>
  <c r="AC82" i="4"/>
  <c r="AB82" i="4"/>
  <c r="H82" i="4"/>
  <c r="BJ81" i="4"/>
  <c r="BI81" i="4"/>
  <c r="AE81" i="4" s="1"/>
  <c r="BF81" i="4"/>
  <c r="BD81" i="4"/>
  <c r="AP81" i="4"/>
  <c r="AX81" i="4" s="1"/>
  <c r="AO81" i="4"/>
  <c r="BH81" i="4" s="1"/>
  <c r="AD81" i="4" s="1"/>
  <c r="AL81" i="4"/>
  <c r="AJ81" i="4"/>
  <c r="AH81" i="4"/>
  <c r="AG81" i="4"/>
  <c r="AF81" i="4"/>
  <c r="AC81" i="4"/>
  <c r="AB81" i="4"/>
  <c r="Z81" i="4"/>
  <c r="H81" i="4"/>
  <c r="AK81" i="4" s="1"/>
  <c r="BJ79" i="4"/>
  <c r="BH79" i="4"/>
  <c r="AD79" i="4" s="1"/>
  <c r="BF79" i="4"/>
  <c r="BD79" i="4"/>
  <c r="AP79" i="4"/>
  <c r="AX79" i="4" s="1"/>
  <c r="AO79" i="4"/>
  <c r="AW79" i="4" s="1"/>
  <c r="BC79" i="4" s="1"/>
  <c r="AL79" i="4"/>
  <c r="AK79" i="4"/>
  <c r="AJ79" i="4"/>
  <c r="AH79" i="4"/>
  <c r="AG79" i="4"/>
  <c r="AF79" i="4"/>
  <c r="AC79" i="4"/>
  <c r="AB79" i="4"/>
  <c r="Z79" i="4"/>
  <c r="H79" i="4"/>
  <c r="BJ78" i="4"/>
  <c r="BF78" i="4"/>
  <c r="BD78" i="4"/>
  <c r="AP78" i="4"/>
  <c r="AO78" i="4"/>
  <c r="AW78" i="4" s="1"/>
  <c r="AL78" i="4"/>
  <c r="AK78" i="4"/>
  <c r="AJ78" i="4"/>
  <c r="AH78" i="4"/>
  <c r="AG78" i="4"/>
  <c r="AF78" i="4"/>
  <c r="AC78" i="4"/>
  <c r="AB78" i="4"/>
  <c r="Z78" i="4"/>
  <c r="H78" i="4"/>
  <c r="BJ77" i="4"/>
  <c r="BI77" i="4"/>
  <c r="AE77" i="4" s="1"/>
  <c r="BF77" i="4"/>
  <c r="BD77" i="4"/>
  <c r="AX77" i="4"/>
  <c r="AP77" i="4"/>
  <c r="AO77" i="4"/>
  <c r="AL77" i="4"/>
  <c r="AJ77" i="4"/>
  <c r="AH77" i="4"/>
  <c r="AG77" i="4"/>
  <c r="AF77" i="4"/>
  <c r="AC77" i="4"/>
  <c r="AB77" i="4"/>
  <c r="Z77" i="4"/>
  <c r="H77" i="4"/>
  <c r="AK77" i="4" s="1"/>
  <c r="BJ76" i="4"/>
  <c r="BH76" i="4"/>
  <c r="AD76" i="4" s="1"/>
  <c r="BF76" i="4"/>
  <c r="BD76" i="4"/>
  <c r="AW76" i="4"/>
  <c r="AP76" i="4"/>
  <c r="AX76" i="4" s="1"/>
  <c r="BC76" i="4" s="1"/>
  <c r="AO76" i="4"/>
  <c r="AL76" i="4"/>
  <c r="AK76" i="4"/>
  <c r="AJ76" i="4"/>
  <c r="AH76" i="4"/>
  <c r="AG76" i="4"/>
  <c r="AF76" i="4"/>
  <c r="AC76" i="4"/>
  <c r="AB76" i="4"/>
  <c r="Z76" i="4"/>
  <c r="H76" i="4"/>
  <c r="BJ74" i="4"/>
  <c r="BI74" i="4"/>
  <c r="BF74" i="4"/>
  <c r="BD74" i="4"/>
  <c r="BC74" i="4"/>
  <c r="AX74" i="4"/>
  <c r="AP74" i="4"/>
  <c r="AO74" i="4"/>
  <c r="AW74" i="4" s="1"/>
  <c r="AV74" i="4" s="1"/>
  <c r="AL74" i="4"/>
  <c r="AK74" i="4"/>
  <c r="AJ74" i="4"/>
  <c r="AH74" i="4"/>
  <c r="AG74" i="4"/>
  <c r="AF74" i="4"/>
  <c r="AE74" i="4"/>
  <c r="AC74" i="4"/>
  <c r="AB74" i="4"/>
  <c r="Z74" i="4"/>
  <c r="H74" i="4"/>
  <c r="BJ73" i="4"/>
  <c r="BI73" i="4"/>
  <c r="AE73" i="4" s="1"/>
  <c r="BH73" i="4"/>
  <c r="BF73" i="4"/>
  <c r="BD73" i="4"/>
  <c r="AX73" i="4"/>
  <c r="AW73" i="4"/>
  <c r="AP73" i="4"/>
  <c r="AO73" i="4"/>
  <c r="AL73" i="4"/>
  <c r="AJ73" i="4"/>
  <c r="AH73" i="4"/>
  <c r="AG73" i="4"/>
  <c r="AF73" i="4"/>
  <c r="AD73" i="4"/>
  <c r="AC73" i="4"/>
  <c r="AB73" i="4"/>
  <c r="Z73" i="4"/>
  <c r="H73" i="4"/>
  <c r="AK73" i="4" s="1"/>
  <c r="BJ72" i="4"/>
  <c r="BH72" i="4"/>
  <c r="AD72" i="4" s="1"/>
  <c r="BF72" i="4"/>
  <c r="BD72" i="4"/>
  <c r="AX72" i="4"/>
  <c r="AW72" i="4"/>
  <c r="BC72" i="4" s="1"/>
  <c r="AV72" i="4"/>
  <c r="AP72" i="4"/>
  <c r="BI72" i="4" s="1"/>
  <c r="AE72" i="4" s="1"/>
  <c r="AO72" i="4"/>
  <c r="AL72" i="4"/>
  <c r="AJ72" i="4"/>
  <c r="AH72" i="4"/>
  <c r="AG72" i="4"/>
  <c r="AF72" i="4"/>
  <c r="AC72" i="4"/>
  <c r="AB72" i="4"/>
  <c r="Z72" i="4"/>
  <c r="H72" i="4"/>
  <c r="AK72" i="4" s="1"/>
  <c r="BJ70" i="4"/>
  <c r="Z70" i="4" s="1"/>
  <c r="BH70" i="4"/>
  <c r="BF70" i="4"/>
  <c r="BD70" i="4"/>
  <c r="AW70" i="4"/>
  <c r="AP70" i="4"/>
  <c r="AX70" i="4" s="1"/>
  <c r="BC70" i="4" s="1"/>
  <c r="AO70" i="4"/>
  <c r="AL70" i="4"/>
  <c r="AK70" i="4"/>
  <c r="AJ70" i="4"/>
  <c r="AH70" i="4"/>
  <c r="AG70" i="4"/>
  <c r="AF70" i="4"/>
  <c r="AE70" i="4"/>
  <c r="AD70" i="4"/>
  <c r="AC70" i="4"/>
  <c r="AB70" i="4"/>
  <c r="H70" i="4"/>
  <c r="BJ69" i="4"/>
  <c r="BI69" i="4"/>
  <c r="BF69" i="4"/>
  <c r="BD69" i="4"/>
  <c r="AX69" i="4"/>
  <c r="AP69" i="4"/>
  <c r="AO69" i="4"/>
  <c r="AW69" i="4" s="1"/>
  <c r="AV69" i="4" s="1"/>
  <c r="AL69" i="4"/>
  <c r="AK69" i="4"/>
  <c r="AJ69" i="4"/>
  <c r="AH69" i="4"/>
  <c r="AG69" i="4"/>
  <c r="AF69" i="4"/>
  <c r="AE69" i="4"/>
  <c r="AC69" i="4"/>
  <c r="AB69" i="4"/>
  <c r="Z69" i="4"/>
  <c r="H69" i="4"/>
  <c r="BJ68" i="4"/>
  <c r="BI68" i="4"/>
  <c r="AE68" i="4" s="1"/>
  <c r="BH68" i="4"/>
  <c r="BF68" i="4"/>
  <c r="BD68" i="4"/>
  <c r="AX68" i="4"/>
  <c r="AW68" i="4"/>
  <c r="AP68" i="4"/>
  <c r="AO68" i="4"/>
  <c r="AL68" i="4"/>
  <c r="AJ68" i="4"/>
  <c r="AH68" i="4"/>
  <c r="AG68" i="4"/>
  <c r="AF68" i="4"/>
  <c r="AD68" i="4"/>
  <c r="AC68" i="4"/>
  <c r="AB68" i="4"/>
  <c r="Z68" i="4"/>
  <c r="H68" i="4"/>
  <c r="AK68" i="4" s="1"/>
  <c r="BJ67" i="4"/>
  <c r="BH67" i="4"/>
  <c r="AD67" i="4" s="1"/>
  <c r="BF67" i="4"/>
  <c r="BD67" i="4"/>
  <c r="BC67" i="4"/>
  <c r="AX67" i="4"/>
  <c r="AW67" i="4"/>
  <c r="AV67" i="4" s="1"/>
  <c r="AP67" i="4"/>
  <c r="BI67" i="4" s="1"/>
  <c r="AE67" i="4" s="1"/>
  <c r="AO67" i="4"/>
  <c r="AL67" i="4"/>
  <c r="AJ67" i="4"/>
  <c r="AH67" i="4"/>
  <c r="AG67" i="4"/>
  <c r="AF67" i="4"/>
  <c r="AC67" i="4"/>
  <c r="AB67" i="4"/>
  <c r="Z67" i="4"/>
  <c r="H67" i="4"/>
  <c r="AK67" i="4" s="1"/>
  <c r="BJ66" i="4"/>
  <c r="BF66" i="4"/>
  <c r="BD66" i="4"/>
  <c r="AX66" i="4"/>
  <c r="AW66" i="4"/>
  <c r="BC66" i="4" s="1"/>
  <c r="AV66" i="4"/>
  <c r="AP66" i="4"/>
  <c r="BI66" i="4" s="1"/>
  <c r="AE66" i="4" s="1"/>
  <c r="AO66" i="4"/>
  <c r="BH66" i="4" s="1"/>
  <c r="AL66" i="4"/>
  <c r="AJ66" i="4"/>
  <c r="AH66" i="4"/>
  <c r="AG66" i="4"/>
  <c r="AF66" i="4"/>
  <c r="AD66" i="4"/>
  <c r="AC66" i="4"/>
  <c r="AB66" i="4"/>
  <c r="Z66" i="4"/>
  <c r="H66" i="4"/>
  <c r="AK66" i="4" s="1"/>
  <c r="BJ65" i="4"/>
  <c r="BF65" i="4"/>
  <c r="BD65" i="4"/>
  <c r="AP65" i="4"/>
  <c r="AO65" i="4"/>
  <c r="BH65" i="4" s="1"/>
  <c r="AD65" i="4" s="1"/>
  <c r="AL65" i="4"/>
  <c r="AJ65" i="4"/>
  <c r="AH65" i="4"/>
  <c r="AG65" i="4"/>
  <c r="AF65" i="4"/>
  <c r="AC65" i="4"/>
  <c r="AB65" i="4"/>
  <c r="Z65" i="4"/>
  <c r="H65" i="4"/>
  <c r="AK65" i="4" s="1"/>
  <c r="BJ64" i="4"/>
  <c r="BF64" i="4"/>
  <c r="BD64" i="4"/>
  <c r="AX64" i="4"/>
  <c r="AP64" i="4"/>
  <c r="BI64" i="4" s="1"/>
  <c r="AE64" i="4" s="1"/>
  <c r="AO64" i="4"/>
  <c r="AL64" i="4"/>
  <c r="AJ64" i="4"/>
  <c r="AH64" i="4"/>
  <c r="AG64" i="4"/>
  <c r="AF64" i="4"/>
  <c r="AC64" i="4"/>
  <c r="AB64" i="4"/>
  <c r="Z64" i="4"/>
  <c r="H64" i="4"/>
  <c r="AK64" i="4" s="1"/>
  <c r="BJ63" i="4"/>
  <c r="BF63" i="4"/>
  <c r="BD63" i="4"/>
  <c r="AX63" i="4"/>
  <c r="AW63" i="4"/>
  <c r="AP63" i="4"/>
  <c r="BI63" i="4" s="1"/>
  <c r="AE63" i="4" s="1"/>
  <c r="AO63" i="4"/>
  <c r="BH63" i="4" s="1"/>
  <c r="AD63" i="4" s="1"/>
  <c r="AL63" i="4"/>
  <c r="AK63" i="4"/>
  <c r="AJ63" i="4"/>
  <c r="AH63" i="4"/>
  <c r="AG63" i="4"/>
  <c r="AF63" i="4"/>
  <c r="AC63" i="4"/>
  <c r="AB63" i="4"/>
  <c r="Z63" i="4"/>
  <c r="H63" i="4"/>
  <c r="BJ62" i="4"/>
  <c r="BI62" i="4"/>
  <c r="AE62" i="4" s="1"/>
  <c r="BF62" i="4"/>
  <c r="BD62" i="4"/>
  <c r="AW62" i="4"/>
  <c r="BC62" i="4" s="1"/>
  <c r="AV62" i="4"/>
  <c r="AP62" i="4"/>
  <c r="AX62" i="4" s="1"/>
  <c r="AO62" i="4"/>
  <c r="BH62" i="4" s="1"/>
  <c r="AD62" i="4" s="1"/>
  <c r="AL62" i="4"/>
  <c r="AJ62" i="4"/>
  <c r="AH62" i="4"/>
  <c r="AG62" i="4"/>
  <c r="AF62" i="4"/>
  <c r="AC62" i="4"/>
  <c r="AB62" i="4"/>
  <c r="Z62" i="4"/>
  <c r="H62" i="4"/>
  <c r="AK62" i="4" s="1"/>
  <c r="BJ61" i="4"/>
  <c r="BH61" i="4"/>
  <c r="AD61" i="4" s="1"/>
  <c r="BF61" i="4"/>
  <c r="BD61" i="4"/>
  <c r="AP61" i="4"/>
  <c r="AX61" i="4" s="1"/>
  <c r="AO61" i="4"/>
  <c r="AW61" i="4" s="1"/>
  <c r="AL61" i="4"/>
  <c r="AK61" i="4"/>
  <c r="AJ61" i="4"/>
  <c r="AH61" i="4"/>
  <c r="AG61" i="4"/>
  <c r="AF61" i="4"/>
  <c r="AC61" i="4"/>
  <c r="AB61" i="4"/>
  <c r="Z61" i="4"/>
  <c r="H61" i="4"/>
  <c r="BJ60" i="4"/>
  <c r="BF60" i="4"/>
  <c r="BD60" i="4"/>
  <c r="AP60" i="4"/>
  <c r="AO60" i="4"/>
  <c r="AW60" i="4" s="1"/>
  <c r="AL60" i="4"/>
  <c r="AJ60" i="4"/>
  <c r="AH60" i="4"/>
  <c r="AG60" i="4"/>
  <c r="AF60" i="4"/>
  <c r="AC60" i="4"/>
  <c r="AB60" i="4"/>
  <c r="Z60" i="4"/>
  <c r="H60" i="4"/>
  <c r="AK60" i="4" s="1"/>
  <c r="BJ59" i="4"/>
  <c r="BI59" i="4"/>
  <c r="AE59" i="4" s="1"/>
  <c r="BF59" i="4"/>
  <c r="BD59" i="4"/>
  <c r="AX59" i="4"/>
  <c r="AP59" i="4"/>
  <c r="AO59" i="4"/>
  <c r="AL59" i="4"/>
  <c r="AJ59" i="4"/>
  <c r="AS58" i="4" s="1"/>
  <c r="AH59" i="4"/>
  <c r="AG59" i="4"/>
  <c r="AF59" i="4"/>
  <c r="AC59" i="4"/>
  <c r="AB59" i="4"/>
  <c r="Z59" i="4"/>
  <c r="H59" i="4"/>
  <c r="AU58" i="4"/>
  <c r="BJ56" i="4"/>
  <c r="BI56" i="4"/>
  <c r="AE56" i="4" s="1"/>
  <c r="BF56" i="4"/>
  <c r="BD56" i="4"/>
  <c r="AP56" i="4"/>
  <c r="AX56" i="4" s="1"/>
  <c r="AO56" i="4"/>
  <c r="BH56" i="4" s="1"/>
  <c r="AD56" i="4" s="1"/>
  <c r="AL56" i="4"/>
  <c r="AJ56" i="4"/>
  <c r="AS55" i="4" s="1"/>
  <c r="AH56" i="4"/>
  <c r="AG56" i="4"/>
  <c r="AF56" i="4"/>
  <c r="AC56" i="4"/>
  <c r="AB56" i="4"/>
  <c r="Z56" i="4"/>
  <c r="H56" i="4"/>
  <c r="H55" i="4" s="1"/>
  <c r="AU55" i="4"/>
  <c r="BJ54" i="4"/>
  <c r="BF54" i="4"/>
  <c r="BD54" i="4"/>
  <c r="AP54" i="4"/>
  <c r="AO54" i="4"/>
  <c r="BH54" i="4" s="1"/>
  <c r="AL54" i="4"/>
  <c r="AJ54" i="4"/>
  <c r="AH54" i="4"/>
  <c r="AG54" i="4"/>
  <c r="AF54" i="4"/>
  <c r="AE54" i="4"/>
  <c r="AD54" i="4"/>
  <c r="AC54" i="4"/>
  <c r="AB54" i="4"/>
  <c r="Z54" i="4"/>
  <c r="H54" i="4"/>
  <c r="AK54" i="4" s="1"/>
  <c r="BJ53" i="4"/>
  <c r="BF53" i="4"/>
  <c r="BD53" i="4"/>
  <c r="AX53" i="4"/>
  <c r="AP53" i="4"/>
  <c r="BI53" i="4" s="1"/>
  <c r="AO53" i="4"/>
  <c r="AL53" i="4"/>
  <c r="AJ53" i="4"/>
  <c r="AH53" i="4"/>
  <c r="AG53" i="4"/>
  <c r="AF53" i="4"/>
  <c r="AE53" i="4"/>
  <c r="AC53" i="4"/>
  <c r="AB53" i="4"/>
  <c r="Z53" i="4"/>
  <c r="H53" i="4"/>
  <c r="AK53" i="4" s="1"/>
  <c r="BJ51" i="4"/>
  <c r="BF51" i="4"/>
  <c r="BD51" i="4"/>
  <c r="AW51" i="4"/>
  <c r="AP51" i="4"/>
  <c r="BI51" i="4" s="1"/>
  <c r="AE51" i="4" s="1"/>
  <c r="AO51" i="4"/>
  <c r="BH51" i="4" s="1"/>
  <c r="AD51" i="4" s="1"/>
  <c r="AL51" i="4"/>
  <c r="AK51" i="4"/>
  <c r="AJ51" i="4"/>
  <c r="AH51" i="4"/>
  <c r="AG51" i="4"/>
  <c r="AF51" i="4"/>
  <c r="AC51" i="4"/>
  <c r="AB51" i="4"/>
  <c r="Z51" i="4"/>
  <c r="H51" i="4"/>
  <c r="BJ50" i="4"/>
  <c r="BI50" i="4"/>
  <c r="AE50" i="4" s="1"/>
  <c r="BF50" i="4"/>
  <c r="BD50" i="4"/>
  <c r="AX50" i="4"/>
  <c r="AP50" i="4"/>
  <c r="AO50" i="4"/>
  <c r="BH50" i="4" s="1"/>
  <c r="AD50" i="4" s="1"/>
  <c r="AL50" i="4"/>
  <c r="AJ50" i="4"/>
  <c r="AH50" i="4"/>
  <c r="AG50" i="4"/>
  <c r="AF50" i="4"/>
  <c r="AC50" i="4"/>
  <c r="AB50" i="4"/>
  <c r="Z50" i="4"/>
  <c r="H50" i="4"/>
  <c r="AK50" i="4" s="1"/>
  <c r="AT48" i="4" s="1"/>
  <c r="BJ49" i="4"/>
  <c r="BH49" i="4"/>
  <c r="AD49" i="4" s="1"/>
  <c r="BF49" i="4"/>
  <c r="BD49" i="4"/>
  <c r="AP49" i="4"/>
  <c r="AX49" i="4" s="1"/>
  <c r="AO49" i="4"/>
  <c r="AW49" i="4" s="1"/>
  <c r="BC49" i="4" s="1"/>
  <c r="AL49" i="4"/>
  <c r="AU48" i="4" s="1"/>
  <c r="AK49" i="4"/>
  <c r="AJ49" i="4"/>
  <c r="AH49" i="4"/>
  <c r="AG49" i="4"/>
  <c r="AF49" i="4"/>
  <c r="AC49" i="4"/>
  <c r="AB49" i="4"/>
  <c r="Z49" i="4"/>
  <c r="H49" i="4"/>
  <c r="AS48" i="4"/>
  <c r="BJ47" i="4"/>
  <c r="BF47" i="4"/>
  <c r="BD47" i="4"/>
  <c r="AX47" i="4"/>
  <c r="AP47" i="4"/>
  <c r="BI47" i="4" s="1"/>
  <c r="AO47" i="4"/>
  <c r="AL47" i="4"/>
  <c r="AJ47" i="4"/>
  <c r="AH47" i="4"/>
  <c r="AG47" i="4"/>
  <c r="AF47" i="4"/>
  <c r="AE47" i="4"/>
  <c r="AD47" i="4"/>
  <c r="AC47" i="4"/>
  <c r="AB47" i="4"/>
  <c r="Z47" i="4"/>
  <c r="H47" i="4"/>
  <c r="AK47" i="4" s="1"/>
  <c r="BJ46" i="4"/>
  <c r="BF46" i="4"/>
  <c r="BD46" i="4"/>
  <c r="AX46" i="4"/>
  <c r="AW46" i="4"/>
  <c r="AP46" i="4"/>
  <c r="BI46" i="4" s="1"/>
  <c r="AE46" i="4" s="1"/>
  <c r="AO46" i="4"/>
  <c r="BH46" i="4" s="1"/>
  <c r="AL46" i="4"/>
  <c r="AK46" i="4"/>
  <c r="AJ46" i="4"/>
  <c r="AH46" i="4"/>
  <c r="AG46" i="4"/>
  <c r="AF46" i="4"/>
  <c r="AD46" i="4"/>
  <c r="AC46" i="4"/>
  <c r="AB46" i="4"/>
  <c r="Z46" i="4"/>
  <c r="H46" i="4"/>
  <c r="BJ45" i="4"/>
  <c r="BI45" i="4"/>
  <c r="AE45" i="4" s="1"/>
  <c r="BF45" i="4"/>
  <c r="BD45" i="4"/>
  <c r="AW45" i="4"/>
  <c r="BC45" i="4" s="1"/>
  <c r="AP45" i="4"/>
  <c r="AX45" i="4" s="1"/>
  <c r="AO45" i="4"/>
  <c r="BH45" i="4" s="1"/>
  <c r="AD45" i="4" s="1"/>
  <c r="AL45" i="4"/>
  <c r="AK45" i="4"/>
  <c r="AT42" i="4" s="1"/>
  <c r="AJ45" i="4"/>
  <c r="AH45" i="4"/>
  <c r="AG45" i="4"/>
  <c r="AF45" i="4"/>
  <c r="AC45" i="4"/>
  <c r="AB45" i="4"/>
  <c r="Z45" i="4"/>
  <c r="H45" i="4"/>
  <c r="BJ43" i="4"/>
  <c r="BI43" i="4"/>
  <c r="AE43" i="4" s="1"/>
  <c r="BH43" i="4"/>
  <c r="AD43" i="4" s="1"/>
  <c r="BF43" i="4"/>
  <c r="BD43" i="4"/>
  <c r="AX43" i="4"/>
  <c r="AV43" i="4" s="1"/>
  <c r="AP43" i="4"/>
  <c r="AO43" i="4"/>
  <c r="AW43" i="4" s="1"/>
  <c r="AL43" i="4"/>
  <c r="AU42" i="4" s="1"/>
  <c r="AK43" i="4"/>
  <c r="AJ43" i="4"/>
  <c r="AS42" i="4" s="1"/>
  <c r="AH43" i="4"/>
  <c r="AG43" i="4"/>
  <c r="AF43" i="4"/>
  <c r="AC43" i="4"/>
  <c r="AB43" i="4"/>
  <c r="Z43" i="4"/>
  <c r="H43" i="4"/>
  <c r="BJ41" i="4"/>
  <c r="BF41" i="4"/>
  <c r="BD41" i="4"/>
  <c r="AP41" i="4"/>
  <c r="BI41" i="4" s="1"/>
  <c r="AO41" i="4"/>
  <c r="AL41" i="4"/>
  <c r="AJ41" i="4"/>
  <c r="AH41" i="4"/>
  <c r="AG41" i="4"/>
  <c r="AF41" i="4"/>
  <c r="AE41" i="4"/>
  <c r="AD41" i="4"/>
  <c r="AC41" i="4"/>
  <c r="AB41" i="4"/>
  <c r="Z41" i="4"/>
  <c r="H41" i="4"/>
  <c r="AK41" i="4" s="1"/>
  <c r="BJ40" i="4"/>
  <c r="BF40" i="4"/>
  <c r="BD40" i="4"/>
  <c r="AP40" i="4"/>
  <c r="BI40" i="4" s="1"/>
  <c r="AE40" i="4" s="1"/>
  <c r="AO40" i="4"/>
  <c r="BH40" i="4" s="1"/>
  <c r="AD40" i="4" s="1"/>
  <c r="AL40" i="4"/>
  <c r="AJ40" i="4"/>
  <c r="AH40" i="4"/>
  <c r="AG40" i="4"/>
  <c r="AF40" i="4"/>
  <c r="AC40" i="4"/>
  <c r="AB40" i="4"/>
  <c r="Z40" i="4"/>
  <c r="H40" i="4"/>
  <c r="AK40" i="4" s="1"/>
  <c r="BJ39" i="4"/>
  <c r="BI39" i="4"/>
  <c r="BF39" i="4"/>
  <c r="BD39" i="4"/>
  <c r="BC39" i="4"/>
  <c r="AX39" i="4"/>
  <c r="AW39" i="4"/>
  <c r="AV39" i="4" s="1"/>
  <c r="AP39" i="4"/>
  <c r="AO39" i="4"/>
  <c r="BH39" i="4" s="1"/>
  <c r="AD39" i="4" s="1"/>
  <c r="AL39" i="4"/>
  <c r="AU36" i="4" s="1"/>
  <c r="AJ39" i="4"/>
  <c r="AH39" i="4"/>
  <c r="AG39" i="4"/>
  <c r="AF39" i="4"/>
  <c r="AE39" i="4"/>
  <c r="AC39" i="4"/>
  <c r="AB39" i="4"/>
  <c r="Z39" i="4"/>
  <c r="H39" i="4"/>
  <c r="H36" i="4" s="1"/>
  <c r="L18" i="1" s="1"/>
  <c r="N18" i="1" s="1"/>
  <c r="BJ37" i="4"/>
  <c r="BI37" i="4"/>
  <c r="AE37" i="4" s="1"/>
  <c r="BH37" i="4"/>
  <c r="BF37" i="4"/>
  <c r="BD37" i="4"/>
  <c r="AW37" i="4"/>
  <c r="AP37" i="4"/>
  <c r="AX37" i="4" s="1"/>
  <c r="AV37" i="4" s="1"/>
  <c r="AO37" i="4"/>
  <c r="AL37" i="4"/>
  <c r="AK37" i="4"/>
  <c r="AJ37" i="4"/>
  <c r="AH37" i="4"/>
  <c r="AG37" i="4"/>
  <c r="AF37" i="4"/>
  <c r="AD37" i="4"/>
  <c r="AC37" i="4"/>
  <c r="AB37" i="4"/>
  <c r="Z37" i="4"/>
  <c r="H37" i="4"/>
  <c r="AS36" i="4"/>
  <c r="BJ35" i="4"/>
  <c r="BI35" i="4"/>
  <c r="BF35" i="4"/>
  <c r="BD35" i="4"/>
  <c r="AP35" i="4"/>
  <c r="AX35" i="4" s="1"/>
  <c r="AO35" i="4"/>
  <c r="AL35" i="4"/>
  <c r="AJ35" i="4"/>
  <c r="AH35" i="4"/>
  <c r="AG35" i="4"/>
  <c r="AF35" i="4"/>
  <c r="AE35" i="4"/>
  <c r="AD35" i="4"/>
  <c r="AC35" i="4"/>
  <c r="AB35" i="4"/>
  <c r="Z35" i="4"/>
  <c r="H35" i="4"/>
  <c r="AK35" i="4" s="1"/>
  <c r="BJ34" i="4"/>
  <c r="BF34" i="4"/>
  <c r="BD34" i="4"/>
  <c r="AP34" i="4"/>
  <c r="BI34" i="4" s="1"/>
  <c r="AG34" i="4" s="1"/>
  <c r="AO34" i="4"/>
  <c r="BH34" i="4" s="1"/>
  <c r="AF34" i="4" s="1"/>
  <c r="C18" i="2" s="1"/>
  <c r="AL34" i="4"/>
  <c r="AJ34" i="4"/>
  <c r="AH34" i="4"/>
  <c r="AE34" i="4"/>
  <c r="AD34" i="4"/>
  <c r="AC34" i="4"/>
  <c r="AB34" i="4"/>
  <c r="Z34" i="4"/>
  <c r="H34" i="4"/>
  <c r="AK34" i="4" s="1"/>
  <c r="BJ33" i="4"/>
  <c r="BI33" i="4"/>
  <c r="BF33" i="4"/>
  <c r="BD33" i="4"/>
  <c r="AW33" i="4"/>
  <c r="BC33" i="4" s="1"/>
  <c r="AP33" i="4"/>
  <c r="AX33" i="4" s="1"/>
  <c r="AO33" i="4"/>
  <c r="BH33" i="4" s="1"/>
  <c r="AD33" i="4" s="1"/>
  <c r="AL33" i="4"/>
  <c r="AJ33" i="4"/>
  <c r="AH33" i="4"/>
  <c r="AG33" i="4"/>
  <c r="AF33" i="4"/>
  <c r="AE33" i="4"/>
  <c r="AC33" i="4"/>
  <c r="AB33" i="4"/>
  <c r="Z33" i="4"/>
  <c r="H33" i="4"/>
  <c r="AK33" i="4" s="1"/>
  <c r="AT31" i="4" s="1"/>
  <c r="BJ32" i="4"/>
  <c r="BH32" i="4"/>
  <c r="BF32" i="4"/>
  <c r="BD32" i="4"/>
  <c r="AP32" i="4"/>
  <c r="AX32" i="4" s="1"/>
  <c r="AO32" i="4"/>
  <c r="AW32" i="4" s="1"/>
  <c r="AL32" i="4"/>
  <c r="AU31" i="4" s="1"/>
  <c r="AK32" i="4"/>
  <c r="AJ32" i="4"/>
  <c r="AS31" i="4" s="1"/>
  <c r="AH32" i="4"/>
  <c r="AG32" i="4"/>
  <c r="AF32" i="4"/>
  <c r="AD32" i="4"/>
  <c r="AC32" i="4"/>
  <c r="AB32" i="4"/>
  <c r="Z32" i="4"/>
  <c r="H32" i="4"/>
  <c r="BJ29" i="4"/>
  <c r="BI29" i="4"/>
  <c r="BH29" i="4"/>
  <c r="AB29" i="4" s="1"/>
  <c r="BF29" i="4"/>
  <c r="BD29" i="4"/>
  <c r="AW29" i="4"/>
  <c r="AP29" i="4"/>
  <c r="AX29" i="4" s="1"/>
  <c r="AO29" i="4"/>
  <c r="AL29" i="4"/>
  <c r="AK29" i="4"/>
  <c r="AJ29" i="4"/>
  <c r="AH29" i="4"/>
  <c r="AG29" i="4"/>
  <c r="AF29" i="4"/>
  <c r="AE29" i="4"/>
  <c r="AD29" i="4"/>
  <c r="AC29" i="4"/>
  <c r="Z29" i="4"/>
  <c r="H29" i="4"/>
  <c r="AU28" i="4"/>
  <c r="AT28" i="4"/>
  <c r="AS28" i="4"/>
  <c r="H28" i="4"/>
  <c r="BJ27" i="4"/>
  <c r="BI27" i="4"/>
  <c r="AC27" i="4" s="1"/>
  <c r="BF27" i="4"/>
  <c r="BD27" i="4"/>
  <c r="AX27" i="4"/>
  <c r="AP27" i="4"/>
  <c r="AO27" i="4"/>
  <c r="BH27" i="4" s="1"/>
  <c r="AB27" i="4" s="1"/>
  <c r="AL27" i="4"/>
  <c r="AU25" i="4" s="1"/>
  <c r="AK27" i="4"/>
  <c r="AT25" i="4" s="1"/>
  <c r="AJ27" i="4"/>
  <c r="AH27" i="4"/>
  <c r="AG27" i="4"/>
  <c r="AF27" i="4"/>
  <c r="AE27" i="4"/>
  <c r="AD27" i="4"/>
  <c r="Z27" i="4"/>
  <c r="H27" i="4"/>
  <c r="BJ26" i="4"/>
  <c r="BI26" i="4"/>
  <c r="AC26" i="4" s="1"/>
  <c r="BH26" i="4"/>
  <c r="AB26" i="4" s="1"/>
  <c r="BF26" i="4"/>
  <c r="BD26" i="4"/>
  <c r="AW26" i="4"/>
  <c r="AP26" i="4"/>
  <c r="AX26" i="4" s="1"/>
  <c r="BC26" i="4" s="1"/>
  <c r="AO26" i="4"/>
  <c r="AL26" i="4"/>
  <c r="AK26" i="4"/>
  <c r="AJ26" i="4"/>
  <c r="AS25" i="4" s="1"/>
  <c r="AH26" i="4"/>
  <c r="AG26" i="4"/>
  <c r="AF26" i="4"/>
  <c r="AE26" i="4"/>
  <c r="AD26" i="4"/>
  <c r="Z26" i="4"/>
  <c r="H26" i="4"/>
  <c r="H25" i="4"/>
  <c r="L15" i="1" s="1"/>
  <c r="N15" i="1" s="1"/>
  <c r="BJ23" i="4"/>
  <c r="BH23" i="4"/>
  <c r="AB23" i="4" s="1"/>
  <c r="BF23" i="4"/>
  <c r="BD23" i="4"/>
  <c r="AX23" i="4"/>
  <c r="AP23" i="4"/>
  <c r="BI23" i="4" s="1"/>
  <c r="AC23" i="4" s="1"/>
  <c r="AO23" i="4"/>
  <c r="AW23" i="4" s="1"/>
  <c r="AL23" i="4"/>
  <c r="AJ23" i="4"/>
  <c r="AH23" i="4"/>
  <c r="AG23" i="4"/>
  <c r="AF23" i="4"/>
  <c r="AE23" i="4"/>
  <c r="AD23" i="4"/>
  <c r="Z23" i="4"/>
  <c r="H23" i="4"/>
  <c r="AK23" i="4" s="1"/>
  <c r="BJ21" i="4"/>
  <c r="BF21" i="4"/>
  <c r="BD21" i="4"/>
  <c r="AW21" i="4"/>
  <c r="AP21" i="4"/>
  <c r="BI21" i="4" s="1"/>
  <c r="AC21" i="4" s="1"/>
  <c r="AO21" i="4"/>
  <c r="BH21" i="4" s="1"/>
  <c r="AB21" i="4" s="1"/>
  <c r="AL21" i="4"/>
  <c r="AU20" i="4" s="1"/>
  <c r="AK21" i="4"/>
  <c r="AT20" i="4" s="1"/>
  <c r="AJ21" i="4"/>
  <c r="AH21" i="4"/>
  <c r="AG21" i="4"/>
  <c r="C19" i="2" s="1"/>
  <c r="AF21" i="4"/>
  <c r="AE21" i="4"/>
  <c r="AD21" i="4"/>
  <c r="Z21" i="4"/>
  <c r="H21" i="4"/>
  <c r="H20" i="4" s="1"/>
  <c r="L14" i="1" s="1"/>
  <c r="N14" i="1" s="1"/>
  <c r="AS20" i="4"/>
  <c r="BJ18" i="4"/>
  <c r="BH18" i="4"/>
  <c r="BF18" i="4"/>
  <c r="BD18" i="4"/>
  <c r="AW18" i="4"/>
  <c r="AP18" i="4"/>
  <c r="BI18" i="4" s="1"/>
  <c r="AC18" i="4" s="1"/>
  <c r="AO18" i="4"/>
  <c r="AL18" i="4"/>
  <c r="AK18" i="4"/>
  <c r="AJ18" i="4"/>
  <c r="AH18" i="4"/>
  <c r="AG18" i="4"/>
  <c r="AF18" i="4"/>
  <c r="AE18" i="4"/>
  <c r="AD18" i="4"/>
  <c r="AB18" i="4"/>
  <c r="Z18" i="4"/>
  <c r="H18" i="4"/>
  <c r="BJ16" i="4"/>
  <c r="BI16" i="4"/>
  <c r="AC16" i="4" s="1"/>
  <c r="BF16" i="4"/>
  <c r="BD16" i="4"/>
  <c r="AP16" i="4"/>
  <c r="AX16" i="4" s="1"/>
  <c r="AO16" i="4"/>
  <c r="BH16" i="4" s="1"/>
  <c r="AB16" i="4" s="1"/>
  <c r="AL16" i="4"/>
  <c r="AJ16" i="4"/>
  <c r="AS14" i="4" s="1"/>
  <c r="AH16" i="4"/>
  <c r="AG16" i="4"/>
  <c r="AF16" i="4"/>
  <c r="AE16" i="4"/>
  <c r="AD16" i="4"/>
  <c r="Z16" i="4"/>
  <c r="H16" i="4"/>
  <c r="AK16" i="4" s="1"/>
  <c r="BJ15" i="4"/>
  <c r="BH15" i="4"/>
  <c r="AB15" i="4" s="1"/>
  <c r="BF15" i="4"/>
  <c r="BD15" i="4"/>
  <c r="AX15" i="4"/>
  <c r="AP15" i="4"/>
  <c r="BI15" i="4" s="1"/>
  <c r="AC15" i="4" s="1"/>
  <c r="AO15" i="4"/>
  <c r="AW15" i="4" s="1"/>
  <c r="AL15" i="4"/>
  <c r="AU14" i="4" s="1"/>
  <c r="AJ15" i="4"/>
  <c r="AH15" i="4"/>
  <c r="C20" i="2" s="1"/>
  <c r="AG15" i="4"/>
  <c r="AF15" i="4"/>
  <c r="AE15" i="4"/>
  <c r="AD15" i="4"/>
  <c r="Z15" i="4"/>
  <c r="H15" i="4"/>
  <c r="AK15" i="4" s="1"/>
  <c r="H14" i="4"/>
  <c r="L13" i="1" s="1"/>
  <c r="N13" i="1" s="1"/>
  <c r="BJ13" i="4"/>
  <c r="BI13" i="4"/>
  <c r="BH13" i="4"/>
  <c r="BF13" i="4"/>
  <c r="BD13" i="4"/>
  <c r="AX13" i="4"/>
  <c r="AW13" i="4"/>
  <c r="BC13" i="4" s="1"/>
  <c r="AV13" i="4"/>
  <c r="AP13" i="4"/>
  <c r="AO13" i="4"/>
  <c r="AL13" i="4"/>
  <c r="AU12" i="4" s="1"/>
  <c r="AK13" i="4"/>
  <c r="AJ13" i="4"/>
  <c r="AH13" i="4"/>
  <c r="AG13" i="4"/>
  <c r="AF13" i="4"/>
  <c r="AE13" i="4"/>
  <c r="AD13" i="4"/>
  <c r="AC13" i="4"/>
  <c r="AB13" i="4"/>
  <c r="Z13" i="4"/>
  <c r="H13" i="4"/>
  <c r="AT12" i="4"/>
  <c r="AS12" i="4"/>
  <c r="H12" i="4"/>
  <c r="AU1" i="4"/>
  <c r="AT1" i="4"/>
  <c r="AS1" i="4"/>
  <c r="I35" i="3"/>
  <c r="I36" i="3" s="1"/>
  <c r="I24" i="2" s="1"/>
  <c r="I26" i="3"/>
  <c r="I25" i="3"/>
  <c r="I18" i="2" s="1"/>
  <c r="I24" i="3"/>
  <c r="I23" i="3"/>
  <c r="I16" i="2" s="1"/>
  <c r="I22" i="3"/>
  <c r="I21" i="3"/>
  <c r="I27" i="3" s="1"/>
  <c r="I17" i="3"/>
  <c r="I16" i="3"/>
  <c r="I15" i="3"/>
  <c r="I18" i="3" s="1"/>
  <c r="F29" i="3" s="1"/>
  <c r="I10" i="3"/>
  <c r="F10" i="3"/>
  <c r="C10" i="3"/>
  <c r="F8" i="3"/>
  <c r="C8" i="3"/>
  <c r="F6" i="3"/>
  <c r="C6" i="3"/>
  <c r="F4" i="3"/>
  <c r="C4" i="3"/>
  <c r="F2" i="3"/>
  <c r="C2" i="3"/>
  <c r="C29" i="2"/>
  <c r="F29" i="2" s="1"/>
  <c r="C27" i="2"/>
  <c r="I19" i="2"/>
  <c r="I17" i="2"/>
  <c r="F16" i="2"/>
  <c r="I15" i="2"/>
  <c r="F15" i="2"/>
  <c r="I14" i="2"/>
  <c r="F14" i="2"/>
  <c r="F22" i="2" s="1"/>
  <c r="I10" i="2"/>
  <c r="F10" i="2"/>
  <c r="C10" i="2"/>
  <c r="F8" i="2"/>
  <c r="C8" i="2"/>
  <c r="F6" i="2"/>
  <c r="C6" i="2"/>
  <c r="F4" i="2"/>
  <c r="C4" i="2"/>
  <c r="F2" i="2"/>
  <c r="C2" i="2"/>
  <c r="P35" i="1"/>
  <c r="L35" i="1"/>
  <c r="N35" i="1" s="1"/>
  <c r="P34" i="1"/>
  <c r="L34" i="1"/>
  <c r="N34" i="1" s="1"/>
  <c r="P33" i="1"/>
  <c r="P32" i="1"/>
  <c r="P31" i="1"/>
  <c r="P30" i="1"/>
  <c r="L30" i="1"/>
  <c r="N30" i="1" s="1"/>
  <c r="P29" i="1"/>
  <c r="P28" i="1"/>
  <c r="P27" i="1"/>
  <c r="P26" i="1"/>
  <c r="L26" i="1"/>
  <c r="N26" i="1" s="1"/>
  <c r="P25" i="1"/>
  <c r="P24" i="1"/>
  <c r="P23" i="1"/>
  <c r="P22" i="1"/>
  <c r="P21" i="1"/>
  <c r="L21" i="1"/>
  <c r="N21" i="1" s="1"/>
  <c r="P20" i="1"/>
  <c r="P19" i="1"/>
  <c r="P18" i="1"/>
  <c r="P17" i="1"/>
  <c r="P16" i="1"/>
  <c r="N16" i="1"/>
  <c r="L16" i="1"/>
  <c r="P15" i="1"/>
  <c r="P14" i="1"/>
  <c r="P13" i="1"/>
  <c r="P12" i="1"/>
  <c r="N12" i="1"/>
  <c r="L12" i="1"/>
  <c r="J8" i="1"/>
  <c r="H8" i="1"/>
  <c r="D8" i="1"/>
  <c r="J6" i="1"/>
  <c r="H6" i="1"/>
  <c r="D6" i="1"/>
  <c r="J4" i="1"/>
  <c r="H4" i="1"/>
  <c r="D4" i="1"/>
  <c r="J2" i="1"/>
  <c r="H2" i="1"/>
  <c r="D2" i="1"/>
  <c r="I22" i="2" l="1"/>
  <c r="C28" i="2" s="1"/>
  <c r="BC23" i="4"/>
  <c r="AV23" i="4"/>
  <c r="BC15" i="4"/>
  <c r="AV15" i="4"/>
  <c r="AT142" i="4"/>
  <c r="C21" i="2"/>
  <c r="BC29" i="4"/>
  <c r="AV26" i="4"/>
  <c r="AT117" i="4"/>
  <c r="BC21" i="4"/>
  <c r="AT14" i="4"/>
  <c r="BC69" i="4"/>
  <c r="BC141" i="4"/>
  <c r="BI60" i="4"/>
  <c r="AE60" i="4" s="1"/>
  <c r="AX60" i="4"/>
  <c r="AV60" i="4" s="1"/>
  <c r="AV76" i="4"/>
  <c r="BI84" i="4"/>
  <c r="AE84" i="4" s="1"/>
  <c r="AX84" i="4"/>
  <c r="BC90" i="4"/>
  <c r="AV90" i="4"/>
  <c r="AK116" i="4"/>
  <c r="AT115" i="4" s="1"/>
  <c r="H115" i="4"/>
  <c r="L31" i="1" s="1"/>
  <c r="N31" i="1" s="1"/>
  <c r="BI116" i="4"/>
  <c r="AX116" i="4"/>
  <c r="BI141" i="4"/>
  <c r="AC141" i="4" s="1"/>
  <c r="AX141" i="4"/>
  <c r="AV141" i="4" s="1"/>
  <c r="AW34" i="4"/>
  <c r="AK39" i="4"/>
  <c r="AT36" i="4" s="1"/>
  <c r="BC68" i="4"/>
  <c r="AV68" i="4"/>
  <c r="AU85" i="4"/>
  <c r="BI90" i="4"/>
  <c r="AE90" i="4" s="1"/>
  <c r="AX90" i="4"/>
  <c r="BC92" i="4"/>
  <c r="BC106" i="4"/>
  <c r="AV106" i="4"/>
  <c r="AW116" i="4"/>
  <c r="BI129" i="4"/>
  <c r="AC129" i="4" s="1"/>
  <c r="AX129" i="4"/>
  <c r="BC129" i="4" s="1"/>
  <c r="AK145" i="4"/>
  <c r="H142" i="4"/>
  <c r="L33" i="1" s="1"/>
  <c r="N33" i="1" s="1"/>
  <c r="BI153" i="4"/>
  <c r="AC153" i="4" s="1"/>
  <c r="AX153" i="4"/>
  <c r="BC153" i="4" s="1"/>
  <c r="BC60" i="4"/>
  <c r="AT71" i="4"/>
  <c r="BH78" i="4"/>
  <c r="AD78" i="4" s="1"/>
  <c r="AW16" i="4"/>
  <c r="AX18" i="4"/>
  <c r="AV18" i="4" s="1"/>
  <c r="BI32" i="4"/>
  <c r="AE32" i="4" s="1"/>
  <c r="C17" i="2" s="1"/>
  <c r="AX34" i="4"/>
  <c r="AW40" i="4"/>
  <c r="H42" i="4"/>
  <c r="L19" i="1" s="1"/>
  <c r="N19" i="1" s="1"/>
  <c r="AV49" i="4"/>
  <c r="AW56" i="4"/>
  <c r="AV79" i="4"/>
  <c r="AU117" i="4"/>
  <c r="BH133" i="4"/>
  <c r="AB133" i="4" s="1"/>
  <c r="AW133" i="4"/>
  <c r="AU142" i="4"/>
  <c r="AV148" i="4"/>
  <c r="AV21" i="4"/>
  <c r="AX40" i="4"/>
  <c r="AV45" i="4"/>
  <c r="BH47" i="4"/>
  <c r="AW47" i="4"/>
  <c r="BH60" i="4"/>
  <c r="AD60" i="4" s="1"/>
  <c r="BC61" i="4"/>
  <c r="BH77" i="4"/>
  <c r="AD77" i="4" s="1"/>
  <c r="AW77" i="4"/>
  <c r="BH84" i="4"/>
  <c r="AD84" i="4" s="1"/>
  <c r="BI95" i="4"/>
  <c r="AC95" i="4" s="1"/>
  <c r="C15" i="2" s="1"/>
  <c r="AX95" i="4"/>
  <c r="BC95" i="4" s="1"/>
  <c r="H104" i="4"/>
  <c r="L29" i="1" s="1"/>
  <c r="N29" i="1" s="1"/>
  <c r="BC113" i="4"/>
  <c r="AV113" i="4"/>
  <c r="BC125" i="4"/>
  <c r="AV125" i="4"/>
  <c r="AV131" i="4"/>
  <c r="BH141" i="4"/>
  <c r="AB141" i="4" s="1"/>
  <c r="AV155" i="4"/>
  <c r="H48" i="4"/>
  <c r="L20" i="1" s="1"/>
  <c r="N20" i="1" s="1"/>
  <c r="BC84" i="4"/>
  <c r="AV84" i="4"/>
  <c r="BH145" i="4"/>
  <c r="AW145" i="4"/>
  <c r="BC51" i="4"/>
  <c r="AV51" i="4"/>
  <c r="BI54" i="4"/>
  <c r="AX54" i="4"/>
  <c r="BC82" i="4"/>
  <c r="AV82" i="4"/>
  <c r="BH90" i="4"/>
  <c r="AD90" i="4" s="1"/>
  <c r="AT104" i="4"/>
  <c r="BC158" i="4"/>
  <c r="AV158" i="4"/>
  <c r="BC46" i="4"/>
  <c r="AV46" i="4"/>
  <c r="H71" i="4"/>
  <c r="L23" i="1" s="1"/>
  <c r="N23" i="1" s="1"/>
  <c r="H31" i="4"/>
  <c r="L17" i="1" s="1"/>
  <c r="N17" i="1" s="1"/>
  <c r="AS71" i="4"/>
  <c r="AX21" i="4"/>
  <c r="AW27" i="4"/>
  <c r="AV33" i="4"/>
  <c r="BC43" i="4"/>
  <c r="AX51" i="4"/>
  <c r="AW54" i="4"/>
  <c r="AV61" i="4"/>
  <c r="BI65" i="4"/>
  <c r="AE65" i="4" s="1"/>
  <c r="AX65" i="4"/>
  <c r="AV70" i="4"/>
  <c r="AU71" i="4"/>
  <c r="AX82" i="4"/>
  <c r="AT98" i="4"/>
  <c r="BH110" i="4"/>
  <c r="AB110" i="4" s="1"/>
  <c r="AW110" i="4"/>
  <c r="AV120" i="4"/>
  <c r="BI122" i="4"/>
  <c r="AC122" i="4" s="1"/>
  <c r="AX122" i="4"/>
  <c r="BC130" i="4"/>
  <c r="BC135" i="4"/>
  <c r="BC154" i="4"/>
  <c r="BI158" i="4"/>
  <c r="AC158" i="4" s="1"/>
  <c r="AX158" i="4"/>
  <c r="BH35" i="4"/>
  <c r="AW35" i="4"/>
  <c r="BH41" i="4"/>
  <c r="AW41" i="4"/>
  <c r="BI49" i="4"/>
  <c r="AE49" i="4" s="1"/>
  <c r="BH59" i="4"/>
  <c r="AD59" i="4" s="1"/>
  <c r="AW59" i="4"/>
  <c r="BC63" i="4"/>
  <c r="AV63" i="4"/>
  <c r="AW65" i="4"/>
  <c r="BI79" i="4"/>
  <c r="AE79" i="4" s="1"/>
  <c r="AV91" i="4"/>
  <c r="BH95" i="4"/>
  <c r="AB95" i="4" s="1"/>
  <c r="C14" i="2" s="1"/>
  <c r="BC99" i="4"/>
  <c r="AV108" i="4"/>
  <c r="AX120" i="4"/>
  <c r="BC120" i="4" s="1"/>
  <c r="AW122" i="4"/>
  <c r="AV124" i="4"/>
  <c r="AX135" i="4"/>
  <c r="AV135" i="4" s="1"/>
  <c r="BH140" i="4"/>
  <c r="AB140" i="4" s="1"/>
  <c r="AW140" i="4"/>
  <c r="BC146" i="4"/>
  <c r="AV146" i="4"/>
  <c r="BI148" i="4"/>
  <c r="BC151" i="4"/>
  <c r="AV151" i="4"/>
  <c r="AS157" i="4"/>
  <c r="BH53" i="4"/>
  <c r="AD53" i="4" s="1"/>
  <c r="C16" i="2" s="1"/>
  <c r="AW53" i="4"/>
  <c r="AV29" i="4"/>
  <c r="BC32" i="4"/>
  <c r="H85" i="4"/>
  <c r="L25" i="1" s="1"/>
  <c r="N25" i="1" s="1"/>
  <c r="BH88" i="4"/>
  <c r="AD88" i="4" s="1"/>
  <c r="AW88" i="4"/>
  <c r="BC93" i="4"/>
  <c r="AV93" i="4"/>
  <c r="AX99" i="4"/>
  <c r="AV99" i="4" s="1"/>
  <c r="BH128" i="4"/>
  <c r="AB128" i="4" s="1"/>
  <c r="AW128" i="4"/>
  <c r="BI146" i="4"/>
  <c r="AX146" i="4"/>
  <c r="BC73" i="4"/>
  <c r="AV73" i="4"/>
  <c r="BC78" i="4"/>
  <c r="AV78" i="4"/>
  <c r="BC101" i="4"/>
  <c r="AV101" i="4"/>
  <c r="H117" i="4"/>
  <c r="L32" i="1" s="1"/>
  <c r="N32" i="1" s="1"/>
  <c r="BC137" i="4"/>
  <c r="AV137" i="4"/>
  <c r="AV32" i="4"/>
  <c r="BC37" i="4"/>
  <c r="AX41" i="4"/>
  <c r="AW50" i="4"/>
  <c r="AK56" i="4"/>
  <c r="AT55" i="4" s="1"/>
  <c r="H58" i="4"/>
  <c r="L22" i="1" s="1"/>
  <c r="N22" i="1" s="1"/>
  <c r="L36" i="1" s="1"/>
  <c r="AK59" i="4"/>
  <c r="AT58" i="4" s="1"/>
  <c r="BI61" i="4"/>
  <c r="AE61" i="4" s="1"/>
  <c r="BI78" i="4"/>
  <c r="AE78" i="4" s="1"/>
  <c r="AX78" i="4"/>
  <c r="AW81" i="4"/>
  <c r="H83" i="4"/>
  <c r="L24" i="1" s="1"/>
  <c r="N24" i="1" s="1"/>
  <c r="AV97" i="4"/>
  <c r="AV103" i="4"/>
  <c r="AS104" i="4"/>
  <c r="BC108" i="4"/>
  <c r="BH121" i="4"/>
  <c r="AB121" i="4" s="1"/>
  <c r="AW121" i="4"/>
  <c r="BH64" i="4"/>
  <c r="AD64" i="4" s="1"/>
  <c r="AW64" i="4"/>
  <c r="BC86" i="4"/>
  <c r="BI91" i="4"/>
  <c r="AE91" i="4" s="1"/>
  <c r="AU104" i="4"/>
  <c r="AV118" i="4"/>
  <c r="BC132" i="4"/>
  <c r="AV132" i="4"/>
  <c r="BI134" i="4"/>
  <c r="AC134" i="4" s="1"/>
  <c r="AX134" i="4"/>
  <c r="BC134" i="4" s="1"/>
  <c r="BC143" i="4"/>
  <c r="BH146" i="4"/>
  <c r="AV150" i="4"/>
  <c r="BC156" i="4"/>
  <c r="AV156" i="4"/>
  <c r="BH69" i="4"/>
  <c r="AD69" i="4" s="1"/>
  <c r="BI70" i="4"/>
  <c r="BH74" i="4"/>
  <c r="AD74" i="4" s="1"/>
  <c r="BI76" i="4"/>
  <c r="AE76" i="4" s="1"/>
  <c r="BH86" i="4"/>
  <c r="AD86" i="4" s="1"/>
  <c r="BI87" i="4"/>
  <c r="AE87" i="4" s="1"/>
  <c r="BH97" i="4"/>
  <c r="AB97" i="4" s="1"/>
  <c r="BH102" i="4"/>
  <c r="AB102" i="4" s="1"/>
  <c r="BI103" i="4"/>
  <c r="AC103" i="4" s="1"/>
  <c r="BH108" i="4"/>
  <c r="AB108" i="4" s="1"/>
  <c r="BI109" i="4"/>
  <c r="AC109" i="4" s="1"/>
  <c r="BH126" i="4"/>
  <c r="AB126" i="4" s="1"/>
  <c r="BI127" i="4"/>
  <c r="AC127" i="4" s="1"/>
  <c r="AW160" i="4"/>
  <c r="H98" i="4"/>
  <c r="L28" i="1" s="1"/>
  <c r="N28" i="1" s="1"/>
  <c r="C22" i="2" l="1"/>
  <c r="F28" i="2"/>
  <c r="I28" i="2"/>
  <c r="BC56" i="4"/>
  <c r="AV56" i="4"/>
  <c r="BC64" i="4"/>
  <c r="AV64" i="4"/>
  <c r="BC88" i="4"/>
  <c r="AV88" i="4"/>
  <c r="AV65" i="4"/>
  <c r="BC65" i="4"/>
  <c r="BC140" i="4"/>
  <c r="AV140" i="4"/>
  <c r="AV121" i="4"/>
  <c r="BC121" i="4"/>
  <c r="BC59" i="4"/>
  <c r="AV59" i="4"/>
  <c r="BC18" i="4"/>
  <c r="AV122" i="4"/>
  <c r="BC122" i="4"/>
  <c r="BC133" i="4"/>
  <c r="AV133" i="4"/>
  <c r="AV153" i="4"/>
  <c r="BC41" i="4"/>
  <c r="AV41" i="4"/>
  <c r="BC77" i="4"/>
  <c r="AV77" i="4"/>
  <c r="BC16" i="4"/>
  <c r="AV16" i="4"/>
  <c r="AV116" i="4"/>
  <c r="BC116" i="4"/>
  <c r="BC40" i="4"/>
  <c r="AV40" i="4"/>
  <c r="AV53" i="4"/>
  <c r="BC53" i="4"/>
  <c r="BC128" i="4"/>
  <c r="AV128" i="4"/>
  <c r="BC110" i="4"/>
  <c r="AV110" i="4"/>
  <c r="BC145" i="4"/>
  <c r="AV145" i="4"/>
  <c r="BC50" i="4"/>
  <c r="AV50" i="4"/>
  <c r="BC34" i="4"/>
  <c r="AV34" i="4"/>
  <c r="BC35" i="4"/>
  <c r="AV35" i="4"/>
  <c r="BC27" i="4"/>
  <c r="AV27" i="4"/>
  <c r="AV95" i="4"/>
  <c r="AV54" i="4"/>
  <c r="BC54" i="4"/>
  <c r="AV134" i="4"/>
  <c r="AV129" i="4"/>
  <c r="BC160" i="4"/>
  <c r="AV160" i="4"/>
  <c r="BC81" i="4"/>
  <c r="AV81" i="4"/>
  <c r="H161" i="4"/>
  <c r="BC47" i="4"/>
  <c r="AV47" i="4"/>
  <c r="I29" i="2" l="1"/>
</calcChain>
</file>

<file path=xl/sharedStrings.xml><?xml version="1.0" encoding="utf-8"?>
<sst xmlns="http://schemas.openxmlformats.org/spreadsheetml/2006/main" count="1672" uniqueCount="527">
  <si>
    <t>Slepý stavební rozpočet - Jen podskupiny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</si>
  <si>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</si>
  <si>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</si>
  <si>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</si>
  <si>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</si>
  <si>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</si>
  <si>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</si>
  <si>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</si>
  <si>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</si>
  <si>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</si>
  <si>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</si>
  <si>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</si>
  <si>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</si>
  <si>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</si>
  <si>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Náklady (Kč)</t>
  </si>
  <si>
    <t>Kód</t>
  </si>
  <si>
    <t>Zkrácený popis</t>
  </si>
  <si>
    <t>Celkem</t>
  </si>
  <si>
    <t>31</t>
  </si>
  <si>
    <t>Zdi podpěrné a volné</t>
  </si>
  <si>
    <t>T</t>
  </si>
  <si>
    <t/>
  </si>
  <si>
    <t>61</t>
  </si>
  <si>
    <t>Úprava povrchů vnitřní</t>
  </si>
  <si>
    <t>62</t>
  </si>
  <si>
    <t>Úprava povrchů vnější</t>
  </si>
  <si>
    <t>63</t>
  </si>
  <si>
    <t>Podlahy a podlahové konstrukce</t>
  </si>
  <si>
    <t>64</t>
  </si>
  <si>
    <t>Výplně otvorů</t>
  </si>
  <si>
    <t>721</t>
  </si>
  <si>
    <t>Vnitřní kanalizace</t>
  </si>
  <si>
    <t>725</t>
  </si>
  <si>
    <t>Zařizovací předměty</t>
  </si>
  <si>
    <t>733</t>
  </si>
  <si>
    <t>Rozvod potrubí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</si>
  <si>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</si>
  <si>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</si>
  <si>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</si>
  <si>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</si>
  <si>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</si>
  <si>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</si>
  <si>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</si>
  <si>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</t>
  </si>
  <si>
    <t>783</t>
  </si>
  <si>
    <t>Nátěry</t>
  </si>
  <si>
    <t>784</t>
  </si>
  <si>
    <t>Malby</t>
  </si>
  <si>
    <t>93</t>
  </si>
  <si>
    <t>Různé dokončovací konstrukce a práce inženýrských staveb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</si>
  <si>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</si>
  <si>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</si>
  <si>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</si>
  <si>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</si>
  <si>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</si>
  <si>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</si>
  <si>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97</t>
  </si>
  <si>
    <t>Prorážení otvorů a ostatní bourací práce</t>
  </si>
  <si>
    <t>H01</t>
  </si>
  <si>
    <t>Budovy občanské výstavby</t>
  </si>
  <si>
    <t>M21</t>
  </si>
  <si>
    <t>Elektromontáže</t>
  </si>
  <si>
    <t>S</t>
  </si>
  <si>
    <t>Přesuny sutí</t>
  </si>
  <si>
    <t>101VD</t>
  </si>
  <si>
    <t>VRN1 - Zařízení staveniště</t>
  </si>
  <si>
    <t>102VD</t>
  </si>
  <si>
    <t>VRN2 - Inženýrská činnost</t>
  </si>
  <si>
    <t>Celkem:</t>
  </si>
  <si>
    <t>Poznámka:</t>
  </si>
  <si>
    <t>Pokud tato dokumentace (z důvodu upřesnění a přiblížení technických parametrů, kvality projektovaných prvků a navrhovaných řešení) obsahuje požadavky nebo odkazy na obchodní firmy nebo názvy, technologie či specifická označení výrobků, jsou tyto odkazy, názvy a označení nezávazná, zadavatel v souladu s § 89 odst. 6 zákona č. 134/2016 sb., o zadávání veřejných zakázek, umožňuje použití i jiných, kvalitativně a technicky obdobných řešení.</t>
  </si>
  <si>
    <t>Krycí list slepého rozpočtu</t>
  </si>
  <si>
    <t>IČO/DIČ:</t>
  </si>
  <si>
    <t>00296139/CZ00296139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</si>
  <si>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</si>
  <si>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</si>
  <si>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</si>
  <si>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</si>
  <si>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</si>
  <si>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</si>
  <si>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</si>
  <si>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</si>
  <si>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</si>
  <si>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</si>
  <si>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</si>
  <si>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</si>
  <si>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</si>
  <si>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</si>
  <si>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</si>
  <si>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</si>
  <si>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</si>
  <si>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</si>
  <si>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</si>
  <si>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</si>
  <si>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</si>
  <si>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</si>
  <si>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</si>
  <si>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</si>
  <si>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</si>
  <si>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</si>
  <si>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</si>
  <si>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</si>
  <si>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</si>
  <si>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</si>
  <si>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</si>
  <si>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</si>
  <si>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</si>
  <si>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</si>
  <si>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</si>
  <si>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</si>
  <si>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</si>
  <si>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</si>
  <si>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</si>
  <si>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</si>
  <si>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</si>
  <si>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</si>
  <si>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</si>
  <si>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</si>
  <si>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</si>
  <si>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</si>
  <si>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</si>
  <si>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</si>
  <si>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</si>
  <si>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</si>
  <si>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</si>
  <si>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</si>
  <si>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</si>
  <si>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</si>
  <si>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</si>
  <si>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</si>
  <si>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Odstranění škod po povodni Revoluční 26, E.F.Buriana 1, 794 01 Krnov</t>
  </si>
  <si>
    <t>Město Krnov</t>
  </si>
  <si>
    <t> </t>
  </si>
  <si>
    <t>17.12.2024</t>
  </si>
  <si>
    <t>Č</t>
  </si>
  <si>
    <t>Zkrácený popis / Varianta</t>
  </si>
  <si>
    <t>MJ</t>
  </si>
  <si>
    <t>Množství</t>
  </si>
  <si>
    <t>Cena/MJ</t>
  </si>
  <si>
    <t>Hmotnost (t)</t>
  </si>
  <si>
    <t>ISWORK</t>
  </si>
  <si>
    <t>GROUPCODE</t>
  </si>
  <si>
    <t>VATTAX</t>
  </si>
  <si>
    <t>Rozměry</t>
  </si>
  <si>
    <t>(Kč)</t>
  </si>
  <si>
    <t>Jednot.</t>
  </si>
  <si>
    <t>Celkem/MJ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</si>
  <si>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</si>
  <si>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</si>
  <si>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</si>
  <si>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</si>
  <si>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</si>
  <si>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</si>
  <si>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</si>
  <si>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</si>
  <si>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</si>
  <si>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</si>
  <si>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</si>
  <si>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</si>
  <si>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</si>
  <si>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319202331R00</t>
  </si>
  <si>
    <t>Vyrovnání povrchu zdiva přizděním do tl. 15 cm</t>
  </si>
  <si>
    <t>m2</t>
  </si>
  <si>
    <t>31_</t>
  </si>
  <si>
    <t>3_</t>
  </si>
  <si>
    <t>_</t>
  </si>
  <si>
    <t>2</t>
  </si>
  <si>
    <t>614471715R00</t>
  </si>
  <si>
    <t>Vyspravení beton. konstrukcí - adhézní můstek</t>
  </si>
  <si>
    <t>61_</t>
  </si>
  <si>
    <t>6_</t>
  </si>
  <si>
    <t>3</t>
  </si>
  <si>
    <t>612409991RT2</t>
  </si>
  <si>
    <t>Začištění omítek kolem oken,dveří apod.</t>
  </si>
  <si>
    <t>m</t>
  </si>
  <si>
    <t>Varianta:</t>
  </si>
  <si>
    <t>s použitím suché maltové směsi</t>
  </si>
  <si>
    <t>4</t>
  </si>
  <si>
    <t>612421131RT2</t>
  </si>
  <si>
    <t>Oprava vápen.omítek stěn do 5 % pl. - štukových</t>
  </si>
  <si>
    <t>5</t>
  </si>
  <si>
    <t>622474432RT1</t>
  </si>
  <si>
    <t>Omítka vnější vápenná štuková Cemix, složitost 3</t>
  </si>
  <si>
    <t>62_</t>
  </si>
  <si>
    <t>vápenný postřik, jádrová vápenná omítka, štuk</t>
  </si>
  <si>
    <t>6</t>
  </si>
  <si>
    <t>622471318RW3</t>
  </si>
  <si>
    <t>Nátěr nebo nástřik stěn vnějších, složitost 3 - 4</t>
  </si>
  <si>
    <t>barva silikonová Stomix GamaDEKOR®SIL</t>
  </si>
  <si>
    <t>7</t>
  </si>
  <si>
    <t>632419110R00</t>
  </si>
  <si>
    <t>Samonivelační stěrka PCI, ruční zpracování tl. 10 mm</t>
  </si>
  <si>
    <t>63_</t>
  </si>
  <si>
    <t>8</t>
  </si>
  <si>
    <t>631310032RA0</t>
  </si>
  <si>
    <t>Mazanina z betonu C 16/20, tloušťka 10 cm</t>
  </si>
  <si>
    <t>9</t>
  </si>
  <si>
    <t>642944121RU5</t>
  </si>
  <si>
    <t>Osazení ocelových zárubní dodatečně do 2,5 m2</t>
  </si>
  <si>
    <t>kus</t>
  </si>
  <si>
    <t>64_</t>
  </si>
  <si>
    <t>včetně dodávky zárubně 900 x 1970 x 150 mm</t>
  </si>
  <si>
    <t>10</t>
  </si>
  <si>
    <t>721176102R00</t>
  </si>
  <si>
    <t>Potrubí HT připojovací, D 40 x 1,8 mm</t>
  </si>
  <si>
    <t>721_</t>
  </si>
  <si>
    <t>72_</t>
  </si>
  <si>
    <t>11</t>
  </si>
  <si>
    <t>721194104R00</t>
  </si>
  <si>
    <t>Vyvedení odpadních výpustek, D 40 x 1,8 mm</t>
  </si>
  <si>
    <t>12</t>
  </si>
  <si>
    <t>230170011R00</t>
  </si>
  <si>
    <t>Zkouška těsnosti potrubí, DN do 40</t>
  </si>
  <si>
    <t>13</t>
  </si>
  <si>
    <t>998721201R00</t>
  </si>
  <si>
    <t>Přesun hmot pro vnitřní kanalizaci, výšky do 6 m</t>
  </si>
  <si>
    <t>14</t>
  </si>
  <si>
    <t>725829301RT2</t>
  </si>
  <si>
    <t>Montáž baterie umyvadlové a dřezové stojánkové</t>
  </si>
  <si>
    <t>725_</t>
  </si>
  <si>
    <t>včetně baterie</t>
  </si>
  <si>
    <t>15</t>
  </si>
  <si>
    <t>725319101R00</t>
  </si>
  <si>
    <t>Montáž dřezů jednoduchých</t>
  </si>
  <si>
    <t>soubor</t>
  </si>
  <si>
    <t>16</t>
  </si>
  <si>
    <t>642812121</t>
  </si>
  <si>
    <t>Dřez nerezový DR43 s přepadem d 430 mm</t>
  </si>
  <si>
    <t>17</t>
  </si>
  <si>
    <t>998725201R00</t>
  </si>
  <si>
    <t>Přesun hmot pro zařizovací předměty, výšky do 6 m</t>
  </si>
  <si>
    <t>18</t>
  </si>
  <si>
    <t>733164103RT1</t>
  </si>
  <si>
    <t>Montáž potrubí z měděných trubek vytápění D 18 mm</t>
  </si>
  <si>
    <t>733_</t>
  </si>
  <si>
    <t>73_</t>
  </si>
  <si>
    <t>pájením na tvrdo</t>
  </si>
  <si>
    <t>19</t>
  </si>
  <si>
    <t>733161903R00</t>
  </si>
  <si>
    <t>Propojení měděného potrubí vytápění D 18 mm</t>
  </si>
  <si>
    <t>20</t>
  </si>
  <si>
    <t>733110806R00</t>
  </si>
  <si>
    <t>Demontáž potrubí ocelového závitového do DN 15-32</t>
  </si>
  <si>
    <t>21</t>
  </si>
  <si>
    <t>998733201R00</t>
  </si>
  <si>
    <t>Přesun hmot pro rozvody potrubí, výšky do 6 m</t>
  </si>
  <si>
    <t>22</t>
  </si>
  <si>
    <t>735151822R00</t>
  </si>
  <si>
    <t>Demontáž otopných těles panelových dvouřadých, délky do 2820 mm</t>
  </si>
  <si>
    <t>735_</t>
  </si>
  <si>
    <t>23</t>
  </si>
  <si>
    <t>735159230R00</t>
  </si>
  <si>
    <t>Montáž panelových těles dvouřadých do délky 1980 mm</t>
  </si>
  <si>
    <t>24</t>
  </si>
  <si>
    <t>900      R01</t>
  </si>
  <si>
    <t>HZS - vypuštění systému, průzkum, zprovoznění kotle a zkouška těsnosti</t>
  </si>
  <si>
    <t>h</t>
  </si>
  <si>
    <t>stavební dělník v tarifní třídě 4</t>
  </si>
  <si>
    <t>25</t>
  </si>
  <si>
    <t>48458698</t>
  </si>
  <si>
    <t>Těleso otopné deskové Radik Plan VK typ 22 výška 900 mm, délka 1600 mm</t>
  </si>
  <si>
    <t>26</t>
  </si>
  <si>
    <t>998735201R00</t>
  </si>
  <si>
    <t>Přesun hmot pro otopná tělesa, výšky do 6 m</t>
  </si>
  <si>
    <t>27</t>
  </si>
  <si>
    <t>764908310RT1</t>
  </si>
  <si>
    <t>Lindab, oplechování parapetů, rš 600 mm, enkolit</t>
  </si>
  <si>
    <t>764_</t>
  </si>
  <si>
    <t>76_</t>
  </si>
  <si>
    <t>plech FOP/PO tl.0,5 mm,barva hnědá,cihlově červená</t>
  </si>
  <si>
    <t>28</t>
  </si>
  <si>
    <t>766660010RA0</t>
  </si>
  <si>
    <t>Montáž dveří jednokřídlových šířky 60 cm</t>
  </si>
  <si>
    <t>766_</t>
  </si>
  <si>
    <t>29</t>
  </si>
  <si>
    <t>766660012RA0</t>
  </si>
  <si>
    <t>Montáž dveří jednokřídlových šířky 70 cm</t>
  </si>
  <si>
    <t>30</t>
  </si>
  <si>
    <t>766660014RA0</t>
  </si>
  <si>
    <t>Montáž dveří jednokřídlových šířky 80 cm</t>
  </si>
  <si>
    <t>54914627</t>
  </si>
  <si>
    <t>Kování dveřní IDEAL klíč Ti</t>
  </si>
  <si>
    <t>32</t>
  </si>
  <si>
    <t>611601201</t>
  </si>
  <si>
    <t>Dveře dřevěné interiérové SOLODOOR KLASIK 600 x 1970 mm L/P, CPL, plné</t>
  </si>
  <si>
    <t>33</t>
  </si>
  <si>
    <t>611601202</t>
  </si>
  <si>
    <t>Dveře dřevěné interiérové SOLODOOR KLASIK 700 x 1970 mm L/P, CPL, plné</t>
  </si>
  <si>
    <t>34</t>
  </si>
  <si>
    <t>611601203</t>
  </si>
  <si>
    <t>Dveře dřevěné interiérové SOLODOOR KLASIK 800 x 1970 mm L/P, CPL, plné</t>
  </si>
  <si>
    <t>35</t>
  </si>
  <si>
    <t>766793301R</t>
  </si>
  <si>
    <t>Oprava vstupních dveří po povodni</t>
  </si>
  <si>
    <t>kpl</t>
  </si>
  <si>
    <t>36</t>
  </si>
  <si>
    <t>766793302R</t>
  </si>
  <si>
    <t>Repase dvoukřílových dveří s obložkovou zárubní1,25x2,4, repase dveřních křídel a zárubní, lakování, obroušení</t>
  </si>
  <si>
    <t>37</t>
  </si>
  <si>
    <t>766793303R</t>
  </si>
  <si>
    <t>Repase dvoukřílových dveří s obložkovou zárubní1,6x2,25+1,3 nadsvětlík, repase dveřních křídel a zárubní, lakování, obroušení</t>
  </si>
  <si>
    <t>38</t>
  </si>
  <si>
    <t>D+M kuchyňské linky se skříňkami</t>
  </si>
  <si>
    <t>39</t>
  </si>
  <si>
    <t>998766201R00</t>
  </si>
  <si>
    <t>Přesun hmot pro truhlářské konstr., výšky do 6 m</t>
  </si>
  <si>
    <t>40</t>
  </si>
  <si>
    <t>771101101R00</t>
  </si>
  <si>
    <t>Vysávání podlah prům.vysavačem pro pokládku dlažby</t>
  </si>
  <si>
    <t>771_</t>
  </si>
  <si>
    <t>77_</t>
  </si>
  <si>
    <t>41</t>
  </si>
  <si>
    <t>771579793R00</t>
  </si>
  <si>
    <t>Příplatek za spárovací hmotu - plošně,keram.dlažba</t>
  </si>
  <si>
    <t>42</t>
  </si>
  <si>
    <t>771575109RU1</t>
  </si>
  <si>
    <t>Montáž keramické dlažby, hladké, na tmel, 300 x 300 m</t>
  </si>
  <si>
    <t>Ardex FB 9 L (flex.lepidlo), Ardex FL (spár.hmota)</t>
  </si>
  <si>
    <t>43</t>
  </si>
  <si>
    <t>771101210R00</t>
  </si>
  <si>
    <t>Penetrace podkladu pod dlažby</t>
  </si>
  <si>
    <t>44</t>
  </si>
  <si>
    <t>771578011R00</t>
  </si>
  <si>
    <t>Spára podlaha - stěna, silikonem</t>
  </si>
  <si>
    <t>45</t>
  </si>
  <si>
    <t>771479001R00</t>
  </si>
  <si>
    <t>Řezání dlaždic keramických pro soklíky</t>
  </si>
  <si>
    <t>46</t>
  </si>
  <si>
    <t>771475014RU1</t>
  </si>
  <si>
    <t>Obklad soklíků keram.rovných, tmel,výška 10 cm</t>
  </si>
  <si>
    <t>47</t>
  </si>
  <si>
    <t>Dlažba dle výběru investora</t>
  </si>
  <si>
    <t>48</t>
  </si>
  <si>
    <t>998771201R00</t>
  </si>
  <si>
    <t>Přesun hmot pro podlahy z dlaždic, výšky do 6 m</t>
  </si>
  <si>
    <t>49</t>
  </si>
  <si>
    <t>783001</t>
  </si>
  <si>
    <t>Nátěr zárubní</t>
  </si>
  <si>
    <t>ks</t>
  </si>
  <si>
    <t>783_</t>
  </si>
  <si>
    <t>78_</t>
  </si>
  <si>
    <t>50</t>
  </si>
  <si>
    <t>784402801R00</t>
  </si>
  <si>
    <t>Odstranění malby oškrábáním v místnosti H do 3,8 m</t>
  </si>
  <si>
    <t>784_</t>
  </si>
  <si>
    <t>51</t>
  </si>
  <si>
    <t>784497941R00</t>
  </si>
  <si>
    <t>Rozmývání podkladu, místnost H do 3,8 m</t>
  </si>
  <si>
    <t>52</t>
  </si>
  <si>
    <t>784011222RT2</t>
  </si>
  <si>
    <t>Zakrytí podlah, včetně odstranění</t>
  </si>
  <si>
    <t>včetně papírové lepenky</t>
  </si>
  <si>
    <t>53</t>
  </si>
  <si>
    <t>784011111R00</t>
  </si>
  <si>
    <t>Oprášení/ometení podkladu</t>
  </si>
  <si>
    <t>54</t>
  </si>
  <si>
    <t>784195612R00</t>
  </si>
  <si>
    <t>Malba Primalex Mykostop, bez penetrace, bílá, 2 x</t>
  </si>
  <si>
    <t>55</t>
  </si>
  <si>
    <t>784191301R00</t>
  </si>
  <si>
    <t>Penetrace podkladu protiplísňová Primalex 1x</t>
  </si>
  <si>
    <t>56</t>
  </si>
  <si>
    <t>784496925R00</t>
  </si>
  <si>
    <t>Odstranění plísní prostředkem Savo</t>
  </si>
  <si>
    <t>57</t>
  </si>
  <si>
    <t>938902122R00</t>
  </si>
  <si>
    <t>Čištění ploch betonových konstrukcí tlakovou vodou</t>
  </si>
  <si>
    <t>93_</t>
  </si>
  <si>
    <t>9_</t>
  </si>
  <si>
    <t>58</t>
  </si>
  <si>
    <t>941955004R00</t>
  </si>
  <si>
    <t>Lešení lehké pomocné, výška podlahy do 3,5 m</t>
  </si>
  <si>
    <t>94_</t>
  </si>
  <si>
    <t>59</t>
  </si>
  <si>
    <t>952901111R00</t>
  </si>
  <si>
    <t>Vyčištění budov o výšce podlaží do 4 m</t>
  </si>
  <si>
    <t>95_</t>
  </si>
  <si>
    <t>60</t>
  </si>
  <si>
    <t>9500000R</t>
  </si>
  <si>
    <t>Sanitační úklid po povodni</t>
  </si>
  <si>
    <t>Pronájem vysoušeče vzduchu 3 kusy 20 dní</t>
  </si>
  <si>
    <t>den</t>
  </si>
  <si>
    <t>Spotřeba elektrické energie při vysoušení příkon 1,65kw 1 kus</t>
  </si>
  <si>
    <t>kWh</t>
  </si>
  <si>
    <t>900      R00</t>
  </si>
  <si>
    <t>HZS - údržba a zajištění provozu vysoušečů vzduchu</t>
  </si>
  <si>
    <t>965048515R00</t>
  </si>
  <si>
    <t>Broušení betonových povrchů do tl. 5 mm - odstranění asfaltu po vybouraných podlahách</t>
  </si>
  <si>
    <t>96_</t>
  </si>
  <si>
    <t>65</t>
  </si>
  <si>
    <t>965081713RT1</t>
  </si>
  <si>
    <t>Bourání dlažeb keramických tl.10 mm, nad 1 m2</t>
  </si>
  <si>
    <t>ručně, dlaždice keramické</t>
  </si>
  <si>
    <t>66</t>
  </si>
  <si>
    <t>965081702R00</t>
  </si>
  <si>
    <t>Bourání soklíků z dlažeb keramických</t>
  </si>
  <si>
    <t>67</t>
  </si>
  <si>
    <t>968062455R00</t>
  </si>
  <si>
    <t>Vybourání dřevěných dveřních zárubní pl. do 2 m2</t>
  </si>
  <si>
    <t>68</t>
  </si>
  <si>
    <t>965042241RT1</t>
  </si>
  <si>
    <t>Bourání mazanin betonových tl. nad 10 cm, nad 4 m2</t>
  </si>
  <si>
    <t>m3</t>
  </si>
  <si>
    <t>ručně tl. mazaniny 10 - 15 cm</t>
  </si>
  <si>
    <t>69</t>
  </si>
  <si>
    <t>978300020RAA</t>
  </si>
  <si>
    <t>Otlučení vnějších omítek stěn vápenocem.100 %</t>
  </si>
  <si>
    <t>97_</t>
  </si>
  <si>
    <t>stupeň složitosti 5-7</t>
  </si>
  <si>
    <t>70</t>
  </si>
  <si>
    <t>998011001R00</t>
  </si>
  <si>
    <t>Přesun hmot pro budovy zděné výšky do 6 m</t>
  </si>
  <si>
    <t>t</t>
  </si>
  <si>
    <t>H01_</t>
  </si>
  <si>
    <t>71</t>
  </si>
  <si>
    <t>900      R23</t>
  </si>
  <si>
    <t>HZS - prozkoušení eleketroinstalace, kontrola, oživení</t>
  </si>
  <si>
    <t>M21_</t>
  </si>
  <si>
    <t>elektromontér v tarifní třídě 6</t>
  </si>
  <si>
    <t>72</t>
  </si>
  <si>
    <t>21022</t>
  </si>
  <si>
    <t>Přidružený materiál</t>
  </si>
  <si>
    <t>73</t>
  </si>
  <si>
    <t>21021</t>
  </si>
  <si>
    <t>časovač do instalční krabice</t>
  </si>
  <si>
    <t>74</t>
  </si>
  <si>
    <t>21020</t>
  </si>
  <si>
    <t>EPS 3 Svorkovnice ekvipotenciální v krabici KO100E</t>
  </si>
  <si>
    <t>75</t>
  </si>
  <si>
    <t>21019</t>
  </si>
  <si>
    <t>5_rameček bílý</t>
  </si>
  <si>
    <t>76</t>
  </si>
  <si>
    <t>21018</t>
  </si>
  <si>
    <t>3_rameček bílý</t>
  </si>
  <si>
    <t>77</t>
  </si>
  <si>
    <t>21017</t>
  </si>
  <si>
    <t>2_rameček bílý</t>
  </si>
  <si>
    <t>78</t>
  </si>
  <si>
    <t>21016</t>
  </si>
  <si>
    <t>1_rameček bílý</t>
  </si>
  <si>
    <t>79</t>
  </si>
  <si>
    <t>21015</t>
  </si>
  <si>
    <t>Svorkovnice 16A pětipólová s krytem</t>
  </si>
  <si>
    <t>80</t>
  </si>
  <si>
    <t>21014</t>
  </si>
  <si>
    <t>Klapka dělená bílá</t>
  </si>
  <si>
    <t>81</t>
  </si>
  <si>
    <t>21013</t>
  </si>
  <si>
    <t>Klapka jednoduchá bílá</t>
  </si>
  <si>
    <t>82</t>
  </si>
  <si>
    <t>21012</t>
  </si>
  <si>
    <t>Přepínač ř.7</t>
  </si>
  <si>
    <t>83</t>
  </si>
  <si>
    <t>21011</t>
  </si>
  <si>
    <t>Přepínač ř.6+6</t>
  </si>
  <si>
    <t>84</t>
  </si>
  <si>
    <t>21010</t>
  </si>
  <si>
    <t>Přepínač ř.6</t>
  </si>
  <si>
    <t>85</t>
  </si>
  <si>
    <t>21009</t>
  </si>
  <si>
    <t>Spínač ř.5</t>
  </si>
  <si>
    <t>86</t>
  </si>
  <si>
    <t>21008</t>
  </si>
  <si>
    <t>Spínač ř.1</t>
  </si>
  <si>
    <t>87</t>
  </si>
  <si>
    <t>21007</t>
  </si>
  <si>
    <t>Tlačítko  ř.1/0</t>
  </si>
  <si>
    <t>88</t>
  </si>
  <si>
    <t>21006</t>
  </si>
  <si>
    <t>Zasuvka bílá 2P+T bezšroubová s clonkami</t>
  </si>
  <si>
    <t>89</t>
  </si>
  <si>
    <t>21005</t>
  </si>
  <si>
    <t>1-ráměček, bílý</t>
  </si>
  <si>
    <t>90</t>
  </si>
  <si>
    <t>21004</t>
  </si>
  <si>
    <t>Kryt zásuvky komunikační</t>
  </si>
  <si>
    <t>91</t>
  </si>
  <si>
    <t>21003</t>
  </si>
  <si>
    <t>maska nosná, 2x pozice keystone, univerzální, černá</t>
  </si>
  <si>
    <t>92</t>
  </si>
  <si>
    <t>21002</t>
  </si>
  <si>
    <t>maska nosná, 1x pozice keystone, univerzální, černá</t>
  </si>
  <si>
    <t>21001</t>
  </si>
  <si>
    <t>Keystone modul 6 UTP 110 IDC zapojení 568B</t>
  </si>
  <si>
    <t>979087312R00</t>
  </si>
  <si>
    <t>Vodorovné přemístění vyb. hmot nošením do 10 m</t>
  </si>
  <si>
    <t>S_</t>
  </si>
  <si>
    <t>979087391R00</t>
  </si>
  <si>
    <t>Příplatek za nošení suti každých dalších 10 m</t>
  </si>
  <si>
    <t>979095312R00</t>
  </si>
  <si>
    <t>Naložení a složení suti</t>
  </si>
  <si>
    <t>979081111RT3</t>
  </si>
  <si>
    <t>Odvoz suti a vybour. hmot na skládku do 1 km</t>
  </si>
  <si>
    <t>kontejnerem 7 t</t>
  </si>
  <si>
    <t>98</t>
  </si>
  <si>
    <t>979081121RT3</t>
  </si>
  <si>
    <t>Příplatek k odvozu za každý další 1 km</t>
  </si>
  <si>
    <t>99</t>
  </si>
  <si>
    <t>979097012R00</t>
  </si>
  <si>
    <t>Pronájem kontejneru 7 t</t>
  </si>
  <si>
    <t>100</t>
  </si>
  <si>
    <t>979990107R00</t>
  </si>
  <si>
    <t>Poplatek za uložení suti - směs betonu, cihel, dřeva, skupina odpadu 170904</t>
  </si>
  <si>
    <t>101</t>
  </si>
  <si>
    <t>10101</t>
  </si>
  <si>
    <t>Náklady zhotovitele související se zajištěním provozů nutných pro provádění díla - zařízení staveniště</t>
  </si>
  <si>
    <t>101VD_</t>
  </si>
  <si>
    <t>1_</t>
  </si>
  <si>
    <t>102</t>
  </si>
  <si>
    <t>10102</t>
  </si>
  <si>
    <t>Náklady zhotovitele související se zajištěním provozů nutných pro provádění díla - provoz zařízení staveniště</t>
  </si>
  <si>
    <t>103</t>
  </si>
  <si>
    <t>10103</t>
  </si>
  <si>
    <t>Náklady zhotovitele související se zajištěním provozů nutných pro prováděněí díla - likvidace zařízení staveniště</t>
  </si>
  <si>
    <t>104</t>
  </si>
  <si>
    <t>10106</t>
  </si>
  <si>
    <t>Energie pro zařízení staveniště</t>
  </si>
  <si>
    <t>105</t>
  </si>
  <si>
    <t>10204</t>
  </si>
  <si>
    <t>Koordinační činnost zhotovitele</t>
  </si>
  <si>
    <t>102VD_</t>
  </si>
  <si>
    <t>106</t>
  </si>
  <si>
    <t>10203</t>
  </si>
  <si>
    <t>Mimostaveništní doprava</t>
  </si>
  <si>
    <t>107</t>
  </si>
  <si>
    <t>10219</t>
  </si>
  <si>
    <t>Zpracování fotodokumentace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</si>
</sst>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10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4" fontId="2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" fontId="9" fillId="0" borderId="34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/>
    </xf>
    <xf numFmtId="4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4" fontId="9" fillId="0" borderId="32" xfId="0" applyNumberFormat="1" applyFont="1" applyBorder="1" applyAlignment="1">
      <alignment horizontal="right" vertical="center"/>
    </xf>
    <xf numFmtId="4" fontId="9" fillId="0" borderId="44" xfId="0" applyNumberFormat="1" applyFont="1" applyBorder="1" applyAlignment="1">
      <alignment horizontal="right" vertical="center"/>
    </xf>
    <xf numFmtId="4" fontId="8" fillId="2" borderId="31" xfId="0" applyNumberFormat="1" applyFont="1" applyFill="1" applyBorder="1" applyAlignment="1">
      <alignment horizontal="right" vertical="center"/>
    </xf>
    <xf numFmtId="4" fontId="8" fillId="2" borderId="36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4" fontId="2" fillId="0" borderId="63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4" fontId="3" fillId="0" borderId="67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4" borderId="21" xfId="0" applyFont="1" applyFill="1" applyBorder="1" applyAlignment="1" applyProtection="1">
      <alignment horizontal="left" vertical="center"/>
      <protection locked="0"/>
    </xf>
    <xf numFmtId="4" fontId="3" fillId="2" borderId="21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" fontId="2" fillId="3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4" fontId="8" fillId="0" borderId="68" xfId="0" applyNumberFormat="1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A37" sqref="A37:I37"/>
    </sheetView>
  </sheetViews>
  <sheetFormatPr defaultColWidth="12.1796875" defaultRowHeight="15" customHeight="1" x14ac:dyDescent="0.35"/>
  <cols>
    <col min="1" max="1" width="9.1796875" customWidth="1"/>
    <col min="2" max="2" width="12.81640625" customWidth="1"/>
    <col min="3" max="3" width="27.1796875" customWidth="1"/>
    <col min="4" max="4" width="10" customWidth="1"/>
    <col min="5" max="5" width="14" customWidth="1"/>
    <col min="6" max="6" width="27.1796875" customWidth="1"/>
    <col min="7" max="7" width="9.1796875" customWidth="1"/>
    <col min="8" max="8" width="12.81640625" customWidth="1"/>
    <col min="9" max="9" width="27.1796875" customWidth="1"/>
  </cols>
  <sheetData>
    <row r="1" spans="1:9" ht="54.75" customHeight="1" x14ac:dyDescent="0.35">
      <c r="A1" s="95" t="s">
        <v>71</v>
      </c>
      <c r="B1" s="70"/>
      <c r="C1" s="70"/>
      <c r="D1" s="70"/>
      <c r="E1" s="70"/>
      <c r="F1" s="70"/>
      <c r="G1" s="70"/>
      <c r="H1" s="70"/>
      <c r="I1" s="70"/>
    </row>
    <row r="2" spans="1:9" ht="14.5" x14ac:dyDescent="0.35">
      <c r="A2" s="71" t="s">
        <v>1</v>
      </c>
      <c r="B2" s="72"/>
      <c r="C2" s="78" t="str">
        <f>'Stavební rozpočet'!C2</f>
        <v>Odstranění škod po povodni Revoluční 26, E.F.Buriana 1, 794 01 Krnov</v>
      </c>
      <c r="D2" s="79"/>
      <c r="E2" s="82" t="s">
        <v>3</v>
      </c>
      <c r="F2" s="82" t="str">
        <f>'Stavební rozpočet'!I2</f>
        <v>Město Krnov</v>
      </c>
      <c r="G2" s="72"/>
      <c r="H2" s="82" t="s">
        <v>72</v>
      </c>
      <c r="I2" s="83" t="s">
        <v>73</v>
      </c>
    </row>
    <row r="3" spans="1:9" ht="39" customHeight="1" x14ac:dyDescent="0.35">
      <c r="A3" s="73"/>
      <c r="B3" s="74"/>
      <c r="C3" s="80"/>
      <c r="D3" s="80"/>
      <c r="E3" s="74"/>
      <c r="F3" s="74"/>
      <c r="G3" s="74"/>
      <c r="H3" s="74"/>
      <c r="I3" s="84"/>
    </row>
    <row r="4" spans="1:9" ht="14.5" x14ac:dyDescent="0.35">
      <c r="A4" s="75" t="s">
        <v>4</v>
      </c>
      <c r="B4" s="74"/>
      <c r="C4" s="81" t="str">
        <f>'Stavební rozpočet'!C4</f>
        <v xml:space="preserve"> </v>
      </c>
      <c r="D4" s="74"/>
      <c r="E4" s="81" t="s">
        <v>6</v>
      </c>
      <c r="F4" s="81" t="str">
        <f>'Stavební rozpočet'!I4</f>
        <v> </v>
      </c>
      <c r="G4" s="74"/>
      <c r="H4" s="81" t="s">
        <v>72</v>
      </c>
      <c r="I4" s="84" t="s">
        <v>21</v>
      </c>
    </row>
    <row r="5" spans="1:9" ht="15" customHeight="1" x14ac:dyDescent="0.35">
      <c r="A5" s="73"/>
      <c r="B5" s="74"/>
      <c r="C5" s="74"/>
      <c r="D5" s="74"/>
      <c r="E5" s="74"/>
      <c r="F5" s="74"/>
      <c r="G5" s="74"/>
      <c r="H5" s="74"/>
      <c r="I5" s="84"/>
    </row>
    <row r="6" spans="1:9" ht="14.5" x14ac:dyDescent="0.35">
      <c r="A6" s="75" t="s">
        <v>7</v>
      </c>
      <c r="B6" s="74"/>
      <c r="C6" s="81" t="str">
        <f>'Stavební rozpočet'!C6</f>
        <v xml:space="preserve"> </v>
      </c>
      <c r="D6" s="74"/>
      <c r="E6" s="81" t="s">
        <v>9</v>
      </c>
      <c r="F6" s="81" t="str">
        <f>'Stavební rozpočet'!I6</f>
        <v> </v>
      </c>
      <c r="G6" s="74"/>
      <c r="H6" s="81" t="s">
        <v>72</v>
      </c>
      <c r="I6" s="84" t="s">
        <v>21</v>
      </c>
    </row>
    <row r="7" spans="1:9" ht="15" customHeight="1" x14ac:dyDescent="0.35">
      <c r="A7" s="73"/>
      <c r="B7" s="74"/>
      <c r="C7" s="74"/>
      <c r="D7" s="74"/>
      <c r="E7" s="74"/>
      <c r="F7" s="74"/>
      <c r="G7" s="74"/>
      <c r="H7" s="74"/>
      <c r="I7" s="84"/>
    </row>
    <row r="8" spans="1:9" ht="14.5" x14ac:dyDescent="0.35">
      <c r="A8" s="75" t="s">
        <v>5</v>
      </c>
      <c r="B8" s="74"/>
      <c r="C8" s="81" t="str">
        <f>'Stavební rozpočet'!G4</f>
        <v xml:space="preserve"> </v>
      </c>
      <c r="D8" s="74"/>
      <c r="E8" s="81" t="s">
        <v>8</v>
      </c>
      <c r="F8" s="81" t="str">
        <f>'Stavební rozpočet'!G6</f>
        <v xml:space="preserve"> </v>
      </c>
      <c r="G8" s="74"/>
      <c r="H8" s="74" t="s">
        <v>74</v>
      </c>
      <c r="I8" s="97">
        <v>107</v>
      </c>
    </row>
    <row r="9" spans="1:9" ht="14.5" x14ac:dyDescent="0.35">
      <c r="A9" s="73"/>
      <c r="B9" s="74"/>
      <c r="C9" s="74"/>
      <c r="D9" s="74"/>
      <c r="E9" s="74"/>
      <c r="F9" s="74"/>
      <c r="G9" s="74"/>
      <c r="H9" s="74"/>
      <c r="I9" s="84"/>
    </row>
    <row r="10" spans="1:9" ht="14.5" x14ac:dyDescent="0.35">
      <c r="A10" s="75" t="s">
        <v>10</v>
      </c>
      <c r="B10" s="74"/>
      <c r="C10" s="81" t="str">
        <f>'Stavební rozpočet'!C8</f>
        <v xml:space="preserve"> </v>
      </c>
      <c r="D10" s="74"/>
      <c r="E10" s="81" t="s">
        <v>12</v>
      </c>
      <c r="F10" s="81" t="str">
        <f>'Stavební rozpočet'!I8</f>
        <v> </v>
      </c>
      <c r="G10" s="74"/>
      <c r="H10" s="74" t="s">
        <v>75</v>
      </c>
      <c r="I10" s="98" t="str">
        <f>'Stavební rozpočet'!G8</f>
        <v>17.12.2024</v>
      </c>
    </row>
    <row r="11" spans="1:9" ht="14.5" x14ac:dyDescent="0.35">
      <c r="A11" s="96"/>
      <c r="B11" s="93"/>
      <c r="C11" s="93"/>
      <c r="D11" s="93"/>
      <c r="E11" s="93"/>
      <c r="F11" s="93"/>
      <c r="G11" s="93"/>
      <c r="H11" s="93"/>
      <c r="I11" s="99"/>
    </row>
    <row r="12" spans="1:9" ht="23" x14ac:dyDescent="0.35">
      <c r="A12" s="100" t="s">
        <v>76</v>
      </c>
      <c r="B12" s="100"/>
      <c r="C12" s="100"/>
      <c r="D12" s="100"/>
      <c r="E12" s="100"/>
      <c r="F12" s="100"/>
      <c r="G12" s="100"/>
      <c r="H12" s="100"/>
      <c r="I12" s="100"/>
    </row>
    <row r="13" spans="1:9" ht="26.25" customHeight="1" x14ac:dyDescent="0.35">
      <c r="A13" s="18" t="s">
        <v>77</v>
      </c>
      <c r="B13" s="101" t="s">
        <v>78</v>
      </c>
      <c r="C13" s="102"/>
      <c r="D13" s="19" t="s">
        <v>79</v>
      </c>
      <c r="E13" s="101" t="s">
        <v>80</v>
      </c>
      <c r="F13" s="102"/>
      <c r="G13" s="19" t="s">
        <v>81</v>
      </c>
      <c r="H13" s="101" t="s">
        <v>82</v>
      </c>
      <c r="I13" s="102"/>
    </row>
    <row r="14" spans="1:9" ht="15.5" x14ac:dyDescent="0.35">
      <c r="A14" s="20" t="s">
        <v>83</v>
      </c>
      <c r="B14" s="21" t="s">
        <v>84</v>
      </c>
      <c r="C14" s="22">
        <f>SUM('Stavební rozpočet'!AB12:AB160)</f>
        <v>0</v>
      </c>
      <c r="D14" s="109" t="s">
        <v>85</v>
      </c>
      <c r="E14" s="110"/>
      <c r="F14" s="22">
        <f>VORN!I15</f>
        <v>0</v>
      </c>
      <c r="G14" s="109" t="s">
        <v>86</v>
      </c>
      <c r="H14" s="110"/>
      <c r="I14" s="23">
        <f>VORN!I21</f>
        <v>0</v>
      </c>
    </row>
    <row r="15" spans="1:9" ht="15.5" x14ac:dyDescent="0.35">
      <c r="A15" s="24" t="s">
        <v>21</v>
      </c>
      <c r="B15" s="21" t="s">
        <v>87</v>
      </c>
      <c r="C15" s="22">
        <f>SUM('Stavební rozpočet'!AC12:AC160)</f>
        <v>0</v>
      </c>
      <c r="D15" s="109" t="s">
        <v>88</v>
      </c>
      <c r="E15" s="110"/>
      <c r="F15" s="22">
        <f>VORN!I16</f>
        <v>0</v>
      </c>
      <c r="G15" s="109" t="s">
        <v>89</v>
      </c>
      <c r="H15" s="110"/>
      <c r="I15" s="23">
        <f>VORN!I22</f>
        <v>0</v>
      </c>
    </row>
    <row r="16" spans="1:9" ht="15.5" x14ac:dyDescent="0.35">
      <c r="A16" s="20" t="s">
        <v>90</v>
      </c>
      <c r="B16" s="21" t="s">
        <v>84</v>
      </c>
      <c r="C16" s="22">
        <f>SUM('Stavební rozpočet'!AD12:AD160)</f>
        <v>0</v>
      </c>
      <c r="D16" s="109" t="s">
        <v>91</v>
      </c>
      <c r="E16" s="110"/>
      <c r="F16" s="22">
        <f>VORN!I17</f>
        <v>0</v>
      </c>
      <c r="G16" s="109" t="s">
        <v>92</v>
      </c>
      <c r="H16" s="110"/>
      <c r="I16" s="23">
        <f>VORN!I23</f>
        <v>0</v>
      </c>
    </row>
    <row r="17" spans="1:9" ht="15.5" x14ac:dyDescent="0.35">
      <c r="A17" s="24" t="s">
        <v>21</v>
      </c>
      <c r="B17" s="21" t="s">
        <v>87</v>
      </c>
      <c r="C17" s="22">
        <f>SUM('Stavební rozpočet'!AE12:AE160)</f>
        <v>0</v>
      </c>
      <c r="D17" s="109" t="s">
        <v>21</v>
      </c>
      <c r="E17" s="110"/>
      <c r="F17" s="23" t="s">
        <v>21</v>
      </c>
      <c r="G17" s="109" t="s">
        <v>93</v>
      </c>
      <c r="H17" s="110"/>
      <c r="I17" s="23">
        <f>VORN!I24</f>
        <v>0</v>
      </c>
    </row>
    <row r="18" spans="1:9" ht="15.5" x14ac:dyDescent="0.35">
      <c r="A18" s="20" t="s">
        <v>94</v>
      </c>
      <c r="B18" s="21" t="s">
        <v>84</v>
      </c>
      <c r="C18" s="22">
        <f>SUM('Stavební rozpočet'!AF12:AF160)</f>
        <v>0</v>
      </c>
      <c r="D18" s="109" t="s">
        <v>21</v>
      </c>
      <c r="E18" s="110"/>
      <c r="F18" s="23" t="s">
        <v>21</v>
      </c>
      <c r="G18" s="109" t="s">
        <v>95</v>
      </c>
      <c r="H18" s="110"/>
      <c r="I18" s="23">
        <f>VORN!I25</f>
        <v>0</v>
      </c>
    </row>
    <row r="19" spans="1:9" ht="15.5" x14ac:dyDescent="0.35">
      <c r="A19" s="24" t="s">
        <v>21</v>
      </c>
      <c r="B19" s="21" t="s">
        <v>87</v>
      </c>
      <c r="C19" s="22">
        <f>SUM('Stavební rozpočet'!AG12:AG160)</f>
        <v>0</v>
      </c>
      <c r="D19" s="109" t="s">
        <v>21</v>
      </c>
      <c r="E19" s="110"/>
      <c r="F19" s="23" t="s">
        <v>21</v>
      </c>
      <c r="G19" s="109" t="s">
        <v>96</v>
      </c>
      <c r="H19" s="110"/>
      <c r="I19" s="23">
        <f>VORN!I26</f>
        <v>0</v>
      </c>
    </row>
    <row r="20" spans="1:9" ht="15.5" x14ac:dyDescent="0.35">
      <c r="A20" s="103" t="s">
        <v>97</v>
      </c>
      <c r="B20" s="104"/>
      <c r="C20" s="22">
        <f>SUM('Stavební rozpočet'!AH12:AH160)</f>
        <v>0</v>
      </c>
      <c r="D20" s="109" t="s">
        <v>21</v>
      </c>
      <c r="E20" s="110"/>
      <c r="F20" s="23" t="s">
        <v>21</v>
      </c>
      <c r="G20" s="109" t="s">
        <v>21</v>
      </c>
      <c r="H20" s="110"/>
      <c r="I20" s="23" t="s">
        <v>21</v>
      </c>
    </row>
    <row r="21" spans="1:9" ht="15.5" x14ac:dyDescent="0.35">
      <c r="A21" s="105" t="s">
        <v>98</v>
      </c>
      <c r="B21" s="106"/>
      <c r="C21" s="25">
        <f>SUM('Stavební rozpočet'!Z12:Z160)</f>
        <v>0</v>
      </c>
      <c r="D21" s="111" t="s">
        <v>21</v>
      </c>
      <c r="E21" s="112"/>
      <c r="F21" s="26" t="s">
        <v>21</v>
      </c>
      <c r="G21" s="111" t="s">
        <v>21</v>
      </c>
      <c r="H21" s="112"/>
      <c r="I21" s="26" t="s">
        <v>21</v>
      </c>
    </row>
    <row r="22" spans="1:9" ht="16.5" customHeight="1" x14ac:dyDescent="0.35">
      <c r="A22" s="107" t="s">
        <v>99</v>
      </c>
      <c r="B22" s="108"/>
      <c r="C22" s="27">
        <f>SUM(C14:C21)</f>
        <v>0</v>
      </c>
      <c r="D22" s="113" t="s">
        <v>100</v>
      </c>
      <c r="E22" s="108"/>
      <c r="F22" s="27">
        <f>SUM(F14:F21)</f>
        <v>0</v>
      </c>
      <c r="G22" s="113" t="s">
        <v>101</v>
      </c>
      <c r="H22" s="108"/>
      <c r="I22" s="27">
        <f>SUM(I14:I21)</f>
        <v>0</v>
      </c>
    </row>
    <row r="23" spans="1:9" ht="15.5" x14ac:dyDescent="0.35">
      <c r="D23" s="103" t="s">
        <v>102</v>
      </c>
      <c r="E23" s="104"/>
      <c r="F23" s="28">
        <v>0</v>
      </c>
      <c r="G23" s="114" t="s">
        <v>103</v>
      </c>
      <c r="H23" s="104"/>
      <c r="I23" s="22">
        <v>0</v>
      </c>
    </row>
    <row r="24" spans="1:9" ht="15.5" x14ac:dyDescent="0.35">
      <c r="G24" s="103" t="s">
        <v>104</v>
      </c>
      <c r="H24" s="104"/>
      <c r="I24" s="25">
        <f>vorn_sum</f>
        <v>0</v>
      </c>
    </row>
    <row r="25" spans="1:9" ht="15.5" x14ac:dyDescent="0.35">
      <c r="G25" s="103" t="s">
        <v>105</v>
      </c>
      <c r="H25" s="104"/>
      <c r="I25" s="27">
        <v>0</v>
      </c>
    </row>
    <row r="27" spans="1:9" ht="15.5" x14ac:dyDescent="0.35">
      <c r="A27" s="115" t="s">
        <v>106</v>
      </c>
      <c r="B27" s="116"/>
      <c r="C27" s="29">
        <f>SUM('Stavební rozpočet'!AJ12:AJ160)</f>
        <v>0</v>
      </c>
    </row>
    <row r="28" spans="1:9" ht="15.5" x14ac:dyDescent="0.35">
      <c r="A28" s="117" t="s">
        <v>107</v>
      </c>
      <c r="B28" s="118"/>
      <c r="C28" s="30">
        <f>SUM('Stavební rozpočet'!AK12:AK160)+(F22+I22+F23+I23+I24+I25)</f>
        <v>0</v>
      </c>
      <c r="D28" s="119" t="s">
        <v>108</v>
      </c>
      <c r="E28" s="116"/>
      <c r="F28" s="29">
        <f>ROUND(C28*(12/100),2)</f>
        <v>0</v>
      </c>
      <c r="G28" s="119" t="s">
        <v>109</v>
      </c>
      <c r="H28" s="116"/>
      <c r="I28" s="29">
        <f>SUM(C27:C29)</f>
        <v>0</v>
      </c>
    </row>
    <row r="29" spans="1:9" ht="15.5" x14ac:dyDescent="0.35">
      <c r="A29" s="117" t="s">
        <v>110</v>
      </c>
      <c r="B29" s="118"/>
      <c r="C29" s="30">
        <f>SUM('Stavební rozpočet'!AL12:AL160)</f>
        <v>0</v>
      </c>
      <c r="D29" s="120" t="s">
        <v>111</v>
      </c>
      <c r="E29" s="118"/>
      <c r="F29" s="30">
        <f>ROUND(C29*(21/100),2)</f>
        <v>0</v>
      </c>
      <c r="G29" s="120" t="s">
        <v>112</v>
      </c>
      <c r="H29" s="118"/>
      <c r="I29" s="30">
        <f>SUM(F28:F29)+I28</f>
        <v>0</v>
      </c>
    </row>
    <row r="31" spans="1:9" ht="15.5" x14ac:dyDescent="0.35">
      <c r="A31" s="121" t="s">
        <v>113</v>
      </c>
      <c r="B31" s="122"/>
      <c r="C31" s="123"/>
      <c r="D31" s="130" t="s">
        <v>114</v>
      </c>
      <c r="E31" s="122"/>
      <c r="F31" s="123"/>
      <c r="G31" s="130" t="s">
        <v>115</v>
      </c>
      <c r="H31" s="122"/>
      <c r="I31" s="123"/>
    </row>
    <row r="32" spans="1:9" ht="15.5" x14ac:dyDescent="0.35">
      <c r="A32" s="124" t="s">
        <v>21</v>
      </c>
      <c r="B32" s="125"/>
      <c r="C32" s="126"/>
      <c r="D32" s="131" t="s">
        <v>21</v>
      </c>
      <c r="E32" s="125"/>
      <c r="F32" s="126"/>
      <c r="G32" s="131" t="s">
        <v>21</v>
      </c>
      <c r="H32" s="125"/>
      <c r="I32" s="126"/>
    </row>
    <row r="33" spans="1:9" ht="15.5" x14ac:dyDescent="0.35">
      <c r="A33" s="124" t="s">
        <v>21</v>
      </c>
      <c r="B33" s="125"/>
      <c r="C33" s="126"/>
      <c r="D33" s="131" t="s">
        <v>21</v>
      </c>
      <c r="E33" s="125"/>
      <c r="F33" s="126"/>
      <c r="G33" s="131" t="s">
        <v>21</v>
      </c>
      <c r="H33" s="125"/>
      <c r="I33" s="126"/>
    </row>
    <row r="34" spans="1:9" ht="15.5" x14ac:dyDescent="0.35">
      <c r="A34" s="124" t="s">
        <v>21</v>
      </c>
      <c r="B34" s="125"/>
      <c r="C34" s="126"/>
      <c r="D34" s="131" t="s">
        <v>21</v>
      </c>
      <c r="E34" s="125"/>
      <c r="F34" s="126"/>
      <c r="G34" s="131" t="s">
        <v>21</v>
      </c>
      <c r="H34" s="125"/>
      <c r="I34" s="126"/>
    </row>
    <row r="35" spans="1:9" ht="15.5" x14ac:dyDescent="0.35">
      <c r="A35" s="127" t="s">
        <v>116</v>
      </c>
      <c r="B35" s="128"/>
      <c r="C35" s="129"/>
      <c r="D35" s="132" t="s">
        <v>116</v>
      </c>
      <c r="E35" s="128"/>
      <c r="F35" s="129"/>
      <c r="G35" s="132" t="s">
        <v>116</v>
      </c>
      <c r="H35" s="128"/>
      <c r="I35" s="129"/>
    </row>
    <row r="36" spans="1:9" ht="14.5" x14ac:dyDescent="0.35">
      <c r="A36" s="31" t="s">
        <v>69</v>
      </c>
    </row>
    <row r="37" spans="1:9" ht="54" customHeight="1" x14ac:dyDescent="0.35">
      <c r="A37" s="81" t="s">
        <v>70</v>
      </c>
      <c r="B37" s="74"/>
      <c r="C37" s="74"/>
      <c r="D37" s="74"/>
      <c r="E37" s="74"/>
      <c r="F37" s="74"/>
      <c r="G37" s="74"/>
      <c r="H37" s="74"/>
      <c r="I37" s="74"/>
    </row>
  </sheetData>
  <sheetProtection password="C665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workbookViewId="0">
      <pane ySplit="11" topLeftCell="A12" activePane="bottomLeft" state="frozen"/>
      <selection pane="bottomLeft" activeCell="A38" sqref="A38:L38"/>
    </sheetView>
  </sheetViews>
  <sheetFormatPr defaultColWidth="12.1796875" defaultRowHeight="15" customHeight="1" x14ac:dyDescent="0.35"/>
  <cols>
    <col min="1" max="1" width="5.7265625" customWidth="1"/>
    <col min="2" max="11" width="15.7265625" customWidth="1"/>
    <col min="12" max="12" width="14.26953125" customWidth="1"/>
    <col min="13" max="16" width="12.1796875" hidden="1"/>
  </cols>
  <sheetData>
    <row r="1" spans="1:16" ht="54.75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14.5" x14ac:dyDescent="0.35">
      <c r="A2" s="71" t="s">
        <v>1</v>
      </c>
      <c r="B2" s="72"/>
      <c r="C2" s="72"/>
      <c r="D2" s="78" t="str">
        <f>'Stavební rozpočet'!C2</f>
        <v>Odstranění škod po povodni Revoluční 26, E.F.Buriana 1, 794 01 Krnov</v>
      </c>
      <c r="E2" s="79"/>
      <c r="F2" s="79"/>
      <c r="G2" s="82" t="s">
        <v>2</v>
      </c>
      <c r="H2" s="82" t="str">
        <f>'Stavební rozpočet'!G2</f>
        <v xml:space="preserve"> </v>
      </c>
      <c r="I2" s="82" t="s">
        <v>3</v>
      </c>
      <c r="J2" s="82" t="str">
        <f>'Stavební rozpočet'!I2</f>
        <v>Město Krnov</v>
      </c>
      <c r="K2" s="72"/>
      <c r="L2" s="83"/>
    </row>
    <row r="3" spans="1:16" ht="25.5" customHeight="1" x14ac:dyDescent="0.35">
      <c r="A3" s="73"/>
      <c r="B3" s="74"/>
      <c r="C3" s="74"/>
      <c r="D3" s="80"/>
      <c r="E3" s="80"/>
      <c r="F3" s="80"/>
      <c r="G3" s="74"/>
      <c r="H3" s="74"/>
      <c r="I3" s="74"/>
      <c r="J3" s="74"/>
      <c r="K3" s="74"/>
      <c r="L3" s="84"/>
    </row>
    <row r="4" spans="1:16" ht="14.5" x14ac:dyDescent="0.35">
      <c r="A4" s="75" t="s">
        <v>4</v>
      </c>
      <c r="B4" s="74"/>
      <c r="C4" s="74"/>
      <c r="D4" s="81" t="str">
        <f>'Stavební rozpočet'!C4</f>
        <v xml:space="preserve"> </v>
      </c>
      <c r="E4" s="74"/>
      <c r="F4" s="74"/>
      <c r="G4" s="81" t="s">
        <v>5</v>
      </c>
      <c r="H4" s="81" t="str">
        <f>'Stavební rozpočet'!G4</f>
        <v xml:space="preserve"> </v>
      </c>
      <c r="I4" s="81" t="s">
        <v>6</v>
      </c>
      <c r="J4" s="81" t="str">
        <f>'Stavební rozpočet'!I4</f>
        <v> </v>
      </c>
      <c r="K4" s="74"/>
      <c r="L4" s="84"/>
    </row>
    <row r="5" spans="1:16" ht="15" customHeight="1" x14ac:dyDescent="0.3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84"/>
    </row>
    <row r="6" spans="1:16" ht="14.5" x14ac:dyDescent="0.35">
      <c r="A6" s="75" t="s">
        <v>7</v>
      </c>
      <c r="B6" s="74"/>
      <c r="C6" s="74"/>
      <c r="D6" s="81" t="str">
        <f>'Stavební rozpočet'!C6</f>
        <v xml:space="preserve"> </v>
      </c>
      <c r="E6" s="74"/>
      <c r="F6" s="74"/>
      <c r="G6" s="81" t="s">
        <v>8</v>
      </c>
      <c r="H6" s="81" t="str">
        <f>'Stavební rozpočet'!G6</f>
        <v xml:space="preserve"> </v>
      </c>
      <c r="I6" s="81" t="s">
        <v>9</v>
      </c>
      <c r="J6" s="81" t="str">
        <f>'Stavební rozpočet'!I6</f>
        <v> </v>
      </c>
      <c r="K6" s="74"/>
      <c r="L6" s="84"/>
    </row>
    <row r="7" spans="1:16" ht="15" customHeight="1" x14ac:dyDescent="0.3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84"/>
    </row>
    <row r="8" spans="1:16" ht="14.5" x14ac:dyDescent="0.35">
      <c r="A8" s="75" t="s">
        <v>10</v>
      </c>
      <c r="B8" s="74"/>
      <c r="C8" s="74"/>
      <c r="D8" s="81" t="str">
        <f>'Stavební rozpočet'!C8</f>
        <v xml:space="preserve"> </v>
      </c>
      <c r="E8" s="74"/>
      <c r="F8" s="74"/>
      <c r="G8" s="81" t="s">
        <v>11</v>
      </c>
      <c r="H8" s="81" t="str">
        <f>'Stavební rozpočet'!G8</f>
        <v>17.12.2024</v>
      </c>
      <c r="I8" s="81" t="s">
        <v>12</v>
      </c>
      <c r="J8" s="81" t="str">
        <f>'Stavební rozpočet'!I8</f>
        <v> </v>
      </c>
      <c r="K8" s="74"/>
      <c r="L8" s="84"/>
    </row>
    <row r="9" spans="1:16" ht="14.5" x14ac:dyDescent="0.3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85"/>
    </row>
    <row r="10" spans="1:16" ht="14.5" x14ac:dyDescent="0.35">
      <c r="A10" s="4" t="s">
        <v>13</v>
      </c>
      <c r="B10" s="86" t="s">
        <v>13</v>
      </c>
      <c r="C10" s="87"/>
      <c r="D10" s="87"/>
      <c r="E10" s="87"/>
      <c r="F10" s="87"/>
      <c r="G10" s="87"/>
      <c r="H10" s="87"/>
      <c r="I10" s="87"/>
      <c r="J10" s="87"/>
      <c r="K10" s="88"/>
      <c r="L10" s="5" t="s">
        <v>14</v>
      </c>
    </row>
    <row r="11" spans="1:16" ht="14.5" x14ac:dyDescent="0.35">
      <c r="A11" s="6" t="s">
        <v>15</v>
      </c>
      <c r="B11" s="89" t="s">
        <v>16</v>
      </c>
      <c r="C11" s="90"/>
      <c r="D11" s="90"/>
      <c r="E11" s="90"/>
      <c r="F11" s="90"/>
      <c r="G11" s="90"/>
      <c r="H11" s="90"/>
      <c r="I11" s="90"/>
      <c r="J11" s="90"/>
      <c r="K11" s="91"/>
      <c r="L11" s="7" t="s">
        <v>17</v>
      </c>
    </row>
    <row r="12" spans="1:16" ht="14.5" x14ac:dyDescent="0.35">
      <c r="A12" s="8" t="s">
        <v>18</v>
      </c>
      <c r="B12" s="92" t="s">
        <v>19</v>
      </c>
      <c r="C12" s="92"/>
      <c r="D12" s="92"/>
      <c r="E12" s="92"/>
      <c r="F12" s="92"/>
      <c r="G12" s="92"/>
      <c r="H12" s="92"/>
      <c r="I12" s="92"/>
      <c r="J12" s="92"/>
      <c r="K12" s="92"/>
      <c r="L12" s="9">
        <f>'Stavební rozpočet'!H12</f>
        <v>0</v>
      </c>
      <c r="M12" s="10" t="s">
        <v>20</v>
      </c>
      <c r="N12" s="11">
        <f t="shared" ref="N12:N35" si="0">IF(M12="F",0,L12)</f>
        <v>0</v>
      </c>
      <c r="O12" s="2" t="s">
        <v>21</v>
      </c>
      <c r="P12" s="11">
        <f t="shared" ref="P12:P35" si="1">IF(M12="T",0,L12)</f>
        <v>0</v>
      </c>
    </row>
    <row r="13" spans="1:16" ht="14.5" x14ac:dyDescent="0.35">
      <c r="A13" s="1" t="s">
        <v>22</v>
      </c>
      <c r="B13" s="74" t="s">
        <v>23</v>
      </c>
      <c r="C13" s="74"/>
      <c r="D13" s="74"/>
      <c r="E13" s="74"/>
      <c r="F13" s="74"/>
      <c r="G13" s="74"/>
      <c r="H13" s="74"/>
      <c r="I13" s="74"/>
      <c r="J13" s="74"/>
      <c r="K13" s="74"/>
      <c r="L13" s="12">
        <f>'Stavební rozpočet'!H14</f>
        <v>0</v>
      </c>
      <c r="M13" s="10" t="s">
        <v>20</v>
      </c>
      <c r="N13" s="11">
        <f t="shared" si="0"/>
        <v>0</v>
      </c>
      <c r="O13" s="2" t="s">
        <v>21</v>
      </c>
      <c r="P13" s="11">
        <f t="shared" si="1"/>
        <v>0</v>
      </c>
    </row>
    <row r="14" spans="1:16" ht="14.5" x14ac:dyDescent="0.35">
      <c r="A14" s="1" t="s">
        <v>24</v>
      </c>
      <c r="B14" s="74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12">
        <f>'Stavební rozpočet'!H20</f>
        <v>0</v>
      </c>
      <c r="M14" s="10" t="s">
        <v>20</v>
      </c>
      <c r="N14" s="11">
        <f t="shared" si="0"/>
        <v>0</v>
      </c>
      <c r="O14" s="2" t="s">
        <v>21</v>
      </c>
      <c r="P14" s="11">
        <f t="shared" si="1"/>
        <v>0</v>
      </c>
    </row>
    <row r="15" spans="1:16" ht="14.5" x14ac:dyDescent="0.35">
      <c r="A15" s="1" t="s">
        <v>26</v>
      </c>
      <c r="B15" s="74" t="s">
        <v>27</v>
      </c>
      <c r="C15" s="74"/>
      <c r="D15" s="74"/>
      <c r="E15" s="74"/>
      <c r="F15" s="74"/>
      <c r="G15" s="74"/>
      <c r="H15" s="74"/>
      <c r="I15" s="74"/>
      <c r="J15" s="74"/>
      <c r="K15" s="74"/>
      <c r="L15" s="12">
        <f>'Stavební rozpočet'!H25</f>
        <v>0</v>
      </c>
      <c r="M15" s="10" t="s">
        <v>20</v>
      </c>
      <c r="N15" s="11">
        <f t="shared" si="0"/>
        <v>0</v>
      </c>
      <c r="O15" s="2" t="s">
        <v>21</v>
      </c>
      <c r="P15" s="11">
        <f t="shared" si="1"/>
        <v>0</v>
      </c>
    </row>
    <row r="16" spans="1:16" ht="14.5" x14ac:dyDescent="0.35">
      <c r="A16" s="1" t="s">
        <v>28</v>
      </c>
      <c r="B16" s="74" t="s">
        <v>29</v>
      </c>
      <c r="C16" s="74"/>
      <c r="D16" s="74"/>
      <c r="E16" s="74"/>
      <c r="F16" s="74"/>
      <c r="G16" s="74"/>
      <c r="H16" s="74"/>
      <c r="I16" s="74"/>
      <c r="J16" s="74"/>
      <c r="K16" s="74"/>
      <c r="L16" s="12">
        <f>'Stavební rozpočet'!H28</f>
        <v>0</v>
      </c>
      <c r="M16" s="10" t="s">
        <v>20</v>
      </c>
      <c r="N16" s="11">
        <f t="shared" si="0"/>
        <v>0</v>
      </c>
      <c r="O16" s="2" t="s">
        <v>21</v>
      </c>
      <c r="P16" s="11">
        <f t="shared" si="1"/>
        <v>0</v>
      </c>
    </row>
    <row r="17" spans="1:16" ht="14.5" x14ac:dyDescent="0.35">
      <c r="A17" s="1" t="s">
        <v>30</v>
      </c>
      <c r="B17" s="74" t="s">
        <v>31</v>
      </c>
      <c r="C17" s="74"/>
      <c r="D17" s="74"/>
      <c r="E17" s="74"/>
      <c r="F17" s="74"/>
      <c r="G17" s="74"/>
      <c r="H17" s="74"/>
      <c r="I17" s="74"/>
      <c r="J17" s="74"/>
      <c r="K17" s="74"/>
      <c r="L17" s="12">
        <f>'Stavební rozpočet'!H31</f>
        <v>0</v>
      </c>
      <c r="M17" s="10" t="s">
        <v>20</v>
      </c>
      <c r="N17" s="11">
        <f t="shared" si="0"/>
        <v>0</v>
      </c>
      <c r="O17" s="2" t="s">
        <v>21</v>
      </c>
      <c r="P17" s="11">
        <f t="shared" si="1"/>
        <v>0</v>
      </c>
    </row>
    <row r="18" spans="1:16" ht="14.5" x14ac:dyDescent="0.35">
      <c r="A18" s="1" t="s">
        <v>32</v>
      </c>
      <c r="B18" s="74" t="s">
        <v>33</v>
      </c>
      <c r="C18" s="74"/>
      <c r="D18" s="74"/>
      <c r="E18" s="74"/>
      <c r="F18" s="74"/>
      <c r="G18" s="74"/>
      <c r="H18" s="74"/>
      <c r="I18" s="74"/>
      <c r="J18" s="74"/>
      <c r="K18" s="74"/>
      <c r="L18" s="12">
        <f>'Stavební rozpočet'!H36</f>
        <v>0</v>
      </c>
      <c r="M18" s="10" t="s">
        <v>20</v>
      </c>
      <c r="N18" s="11">
        <f t="shared" si="0"/>
        <v>0</v>
      </c>
      <c r="O18" s="2" t="s">
        <v>21</v>
      </c>
      <c r="P18" s="11">
        <f t="shared" si="1"/>
        <v>0</v>
      </c>
    </row>
    <row r="19" spans="1:16" ht="14.5" x14ac:dyDescent="0.35">
      <c r="A19" s="1" t="s">
        <v>34</v>
      </c>
      <c r="B19" s="74" t="s">
        <v>35</v>
      </c>
      <c r="C19" s="74"/>
      <c r="D19" s="74"/>
      <c r="E19" s="74"/>
      <c r="F19" s="74"/>
      <c r="G19" s="74"/>
      <c r="H19" s="74"/>
      <c r="I19" s="74"/>
      <c r="J19" s="74"/>
      <c r="K19" s="74"/>
      <c r="L19" s="12">
        <f>'Stavební rozpočet'!H42</f>
        <v>0</v>
      </c>
      <c r="M19" s="10" t="s">
        <v>20</v>
      </c>
      <c r="N19" s="11">
        <f t="shared" si="0"/>
        <v>0</v>
      </c>
      <c r="O19" s="2" t="s">
        <v>21</v>
      </c>
      <c r="P19" s="11">
        <f t="shared" si="1"/>
        <v>0</v>
      </c>
    </row>
    <row r="20" spans="1:16" ht="14.5" x14ac:dyDescent="0.35">
      <c r="A20" s="1" t="s">
        <v>36</v>
      </c>
      <c r="B20" s="74" t="s">
        <v>37</v>
      </c>
      <c r="C20" s="74"/>
      <c r="D20" s="74"/>
      <c r="E20" s="74"/>
      <c r="F20" s="74"/>
      <c r="G20" s="74"/>
      <c r="H20" s="74"/>
      <c r="I20" s="74"/>
      <c r="J20" s="74"/>
      <c r="K20" s="74"/>
      <c r="L20" s="12">
        <f>'Stavební rozpočet'!H48</f>
        <v>0</v>
      </c>
      <c r="M20" s="10" t="s">
        <v>20</v>
      </c>
      <c r="N20" s="11">
        <f t="shared" si="0"/>
        <v>0</v>
      </c>
      <c r="O20" s="2" t="s">
        <v>21</v>
      </c>
      <c r="P20" s="11">
        <f t="shared" si="1"/>
        <v>0</v>
      </c>
    </row>
    <row r="21" spans="1:16" ht="14.5" x14ac:dyDescent="0.35">
      <c r="A21" s="1" t="s">
        <v>38</v>
      </c>
      <c r="B21" s="74" t="s">
        <v>39</v>
      </c>
      <c r="C21" s="74"/>
      <c r="D21" s="74"/>
      <c r="E21" s="74"/>
      <c r="F21" s="74"/>
      <c r="G21" s="74"/>
      <c r="H21" s="74"/>
      <c r="I21" s="74"/>
      <c r="J21" s="74"/>
      <c r="K21" s="74"/>
      <c r="L21" s="12">
        <f>'Stavební rozpočet'!H55</f>
        <v>0</v>
      </c>
      <c r="M21" s="10" t="s">
        <v>20</v>
      </c>
      <c r="N21" s="11">
        <f t="shared" si="0"/>
        <v>0</v>
      </c>
      <c r="O21" s="2" t="s">
        <v>21</v>
      </c>
      <c r="P21" s="11">
        <f t="shared" si="1"/>
        <v>0</v>
      </c>
    </row>
    <row r="22" spans="1:16" ht="14.5" x14ac:dyDescent="0.35">
      <c r="A22" s="1" t="s">
        <v>40</v>
      </c>
      <c r="B22" s="74" t="s">
        <v>41</v>
      </c>
      <c r="C22" s="74"/>
      <c r="D22" s="74"/>
      <c r="E22" s="74"/>
      <c r="F22" s="74"/>
      <c r="G22" s="74"/>
      <c r="H22" s="74"/>
      <c r="I22" s="74"/>
      <c r="J22" s="74"/>
      <c r="K22" s="74"/>
      <c r="L22" s="12">
        <f>'Stavební rozpočet'!H58</f>
        <v>0</v>
      </c>
      <c r="M22" s="10" t="s">
        <v>20</v>
      </c>
      <c r="N22" s="11">
        <f t="shared" si="0"/>
        <v>0</v>
      </c>
      <c r="O22" s="2" t="s">
        <v>21</v>
      </c>
      <c r="P22" s="11">
        <f t="shared" si="1"/>
        <v>0</v>
      </c>
    </row>
    <row r="23" spans="1:16" ht="14.5" x14ac:dyDescent="0.35">
      <c r="A23" s="1" t="s">
        <v>42</v>
      </c>
      <c r="B23" s="74" t="s">
        <v>43</v>
      </c>
      <c r="C23" s="74"/>
      <c r="D23" s="74"/>
      <c r="E23" s="74"/>
      <c r="F23" s="74"/>
      <c r="G23" s="74"/>
      <c r="H23" s="74"/>
      <c r="I23" s="74"/>
      <c r="J23" s="74"/>
      <c r="K23" s="74"/>
      <c r="L23" s="12">
        <f>'Stavební rozpočet'!H71</f>
        <v>0</v>
      </c>
      <c r="M23" s="10" t="s">
        <v>20</v>
      </c>
      <c r="N23" s="11">
        <f t="shared" si="0"/>
        <v>0</v>
      </c>
      <c r="O23" s="2" t="s">
        <v>21</v>
      </c>
      <c r="P23" s="11">
        <f t="shared" si="1"/>
        <v>0</v>
      </c>
    </row>
    <row r="24" spans="1:16" ht="14.5" x14ac:dyDescent="0.35">
      <c r="A24" s="1" t="s">
        <v>44</v>
      </c>
      <c r="B24" s="74" t="s">
        <v>45</v>
      </c>
      <c r="C24" s="74"/>
      <c r="D24" s="74"/>
      <c r="E24" s="74"/>
      <c r="F24" s="74"/>
      <c r="G24" s="74"/>
      <c r="H24" s="74"/>
      <c r="I24" s="74"/>
      <c r="J24" s="74"/>
      <c r="K24" s="74"/>
      <c r="L24" s="12">
        <f>'Stavební rozpočet'!H83</f>
        <v>0</v>
      </c>
      <c r="M24" s="10" t="s">
        <v>20</v>
      </c>
      <c r="N24" s="11">
        <f t="shared" si="0"/>
        <v>0</v>
      </c>
      <c r="O24" s="2" t="s">
        <v>21</v>
      </c>
      <c r="P24" s="11">
        <f t="shared" si="1"/>
        <v>0</v>
      </c>
    </row>
    <row r="25" spans="1:16" ht="14.5" x14ac:dyDescent="0.35">
      <c r="A25" s="1" t="s">
        <v>46</v>
      </c>
      <c r="B25" s="74" t="s">
        <v>47</v>
      </c>
      <c r="C25" s="74"/>
      <c r="D25" s="74"/>
      <c r="E25" s="74"/>
      <c r="F25" s="74"/>
      <c r="G25" s="74"/>
      <c r="H25" s="74"/>
      <c r="I25" s="74"/>
      <c r="J25" s="74"/>
      <c r="K25" s="74"/>
      <c r="L25" s="12">
        <f>'Stavební rozpočet'!H85</f>
        <v>0</v>
      </c>
      <c r="M25" s="10" t="s">
        <v>20</v>
      </c>
      <c r="N25" s="11">
        <f t="shared" si="0"/>
        <v>0</v>
      </c>
      <c r="O25" s="2" t="s">
        <v>21</v>
      </c>
      <c r="P25" s="11">
        <f t="shared" si="1"/>
        <v>0</v>
      </c>
    </row>
    <row r="26" spans="1:16" ht="14.5" x14ac:dyDescent="0.35">
      <c r="A26" s="1" t="s">
        <v>48</v>
      </c>
      <c r="B26" s="74" t="s">
        <v>49</v>
      </c>
      <c r="C26" s="74"/>
      <c r="D26" s="74"/>
      <c r="E26" s="74"/>
      <c r="F26" s="74"/>
      <c r="G26" s="74"/>
      <c r="H26" s="74"/>
      <c r="I26" s="74"/>
      <c r="J26" s="74"/>
      <c r="K26" s="74"/>
      <c r="L26" s="12">
        <f>'Stavební rozpočet'!H94</f>
        <v>0</v>
      </c>
      <c r="M26" s="10" t="s">
        <v>20</v>
      </c>
      <c r="N26" s="11">
        <f t="shared" si="0"/>
        <v>0</v>
      </c>
      <c r="O26" s="2" t="s">
        <v>21</v>
      </c>
      <c r="P26" s="11">
        <f t="shared" si="1"/>
        <v>0</v>
      </c>
    </row>
    <row r="27" spans="1:16" ht="14.5" x14ac:dyDescent="0.35">
      <c r="A27" s="1" t="s">
        <v>50</v>
      </c>
      <c r="B27" s="74" t="s">
        <v>51</v>
      </c>
      <c r="C27" s="74"/>
      <c r="D27" s="74"/>
      <c r="E27" s="74"/>
      <c r="F27" s="74"/>
      <c r="G27" s="74"/>
      <c r="H27" s="74"/>
      <c r="I27" s="74"/>
      <c r="J27" s="74"/>
      <c r="K27" s="74"/>
      <c r="L27" s="12">
        <f>'Stavební rozpočet'!H96</f>
        <v>0</v>
      </c>
      <c r="M27" s="10" t="s">
        <v>20</v>
      </c>
      <c r="N27" s="11">
        <f t="shared" si="0"/>
        <v>0</v>
      </c>
      <c r="O27" s="2" t="s">
        <v>21</v>
      </c>
      <c r="P27" s="11">
        <f t="shared" si="1"/>
        <v>0</v>
      </c>
    </row>
    <row r="28" spans="1:16" ht="14.5" x14ac:dyDescent="0.35">
      <c r="A28" s="1" t="s">
        <v>52</v>
      </c>
      <c r="B28" s="74" t="s">
        <v>53</v>
      </c>
      <c r="C28" s="74"/>
      <c r="D28" s="74"/>
      <c r="E28" s="74"/>
      <c r="F28" s="74"/>
      <c r="G28" s="74"/>
      <c r="H28" s="74"/>
      <c r="I28" s="74"/>
      <c r="J28" s="74"/>
      <c r="K28" s="74"/>
      <c r="L28" s="12">
        <f>'Stavební rozpočet'!H98</f>
        <v>0</v>
      </c>
      <c r="M28" s="10" t="s">
        <v>20</v>
      </c>
      <c r="N28" s="11">
        <f t="shared" si="0"/>
        <v>0</v>
      </c>
      <c r="O28" s="2" t="s">
        <v>21</v>
      </c>
      <c r="P28" s="11">
        <f t="shared" si="1"/>
        <v>0</v>
      </c>
    </row>
    <row r="29" spans="1:16" ht="14.5" x14ac:dyDescent="0.35">
      <c r="A29" s="1" t="s">
        <v>54</v>
      </c>
      <c r="B29" s="74" t="s">
        <v>55</v>
      </c>
      <c r="C29" s="74"/>
      <c r="D29" s="74"/>
      <c r="E29" s="74"/>
      <c r="F29" s="74"/>
      <c r="G29" s="74"/>
      <c r="H29" s="74"/>
      <c r="I29" s="74"/>
      <c r="J29" s="74"/>
      <c r="K29" s="74"/>
      <c r="L29" s="12">
        <f>'Stavební rozpočet'!H104</f>
        <v>0</v>
      </c>
      <c r="M29" s="10" t="s">
        <v>20</v>
      </c>
      <c r="N29" s="11">
        <f t="shared" si="0"/>
        <v>0</v>
      </c>
      <c r="O29" s="2" t="s">
        <v>21</v>
      </c>
      <c r="P29" s="11">
        <f t="shared" si="1"/>
        <v>0</v>
      </c>
    </row>
    <row r="30" spans="1:16" ht="14.5" x14ac:dyDescent="0.35">
      <c r="A30" s="1" t="s">
        <v>56</v>
      </c>
      <c r="B30" s="74" t="s">
        <v>57</v>
      </c>
      <c r="C30" s="74"/>
      <c r="D30" s="74"/>
      <c r="E30" s="74"/>
      <c r="F30" s="74"/>
      <c r="G30" s="74"/>
      <c r="H30" s="74"/>
      <c r="I30" s="74"/>
      <c r="J30" s="74"/>
      <c r="K30" s="74"/>
      <c r="L30" s="12">
        <f>'Stavební rozpočet'!H112</f>
        <v>0</v>
      </c>
      <c r="M30" s="10" t="s">
        <v>20</v>
      </c>
      <c r="N30" s="11">
        <f t="shared" si="0"/>
        <v>0</v>
      </c>
      <c r="O30" s="2" t="s">
        <v>21</v>
      </c>
      <c r="P30" s="11">
        <f t="shared" si="1"/>
        <v>0</v>
      </c>
    </row>
    <row r="31" spans="1:16" ht="14.5" x14ac:dyDescent="0.35">
      <c r="A31" s="1" t="s">
        <v>58</v>
      </c>
      <c r="B31" s="74" t="s">
        <v>59</v>
      </c>
      <c r="C31" s="74"/>
      <c r="D31" s="74"/>
      <c r="E31" s="74"/>
      <c r="F31" s="74"/>
      <c r="G31" s="74"/>
      <c r="H31" s="74"/>
      <c r="I31" s="74"/>
      <c r="J31" s="74"/>
      <c r="K31" s="74"/>
      <c r="L31" s="12">
        <f>'Stavební rozpočet'!H115</f>
        <v>0</v>
      </c>
      <c r="M31" s="10" t="s">
        <v>20</v>
      </c>
      <c r="N31" s="11">
        <f t="shared" si="0"/>
        <v>0</v>
      </c>
      <c r="O31" s="2" t="s">
        <v>21</v>
      </c>
      <c r="P31" s="11">
        <f t="shared" si="1"/>
        <v>0</v>
      </c>
    </row>
    <row r="32" spans="1:16" ht="14.5" x14ac:dyDescent="0.35">
      <c r="A32" s="1" t="s">
        <v>60</v>
      </c>
      <c r="B32" s="74" t="s">
        <v>61</v>
      </c>
      <c r="C32" s="74"/>
      <c r="D32" s="74"/>
      <c r="E32" s="74"/>
      <c r="F32" s="74"/>
      <c r="G32" s="74"/>
      <c r="H32" s="74"/>
      <c r="I32" s="74"/>
      <c r="J32" s="74"/>
      <c r="K32" s="74"/>
      <c r="L32" s="12">
        <f>'Stavební rozpočet'!H117</f>
        <v>0</v>
      </c>
      <c r="M32" s="10" t="s">
        <v>20</v>
      </c>
      <c r="N32" s="11">
        <f t="shared" si="0"/>
        <v>0</v>
      </c>
      <c r="O32" s="2" t="s">
        <v>21</v>
      </c>
      <c r="P32" s="11">
        <f t="shared" si="1"/>
        <v>0</v>
      </c>
    </row>
    <row r="33" spans="1:16" ht="14.5" x14ac:dyDescent="0.35">
      <c r="A33" s="1" t="s">
        <v>62</v>
      </c>
      <c r="B33" s="74" t="s">
        <v>63</v>
      </c>
      <c r="C33" s="74"/>
      <c r="D33" s="74"/>
      <c r="E33" s="74"/>
      <c r="F33" s="74"/>
      <c r="G33" s="74"/>
      <c r="H33" s="74"/>
      <c r="I33" s="74"/>
      <c r="J33" s="74"/>
      <c r="K33" s="74"/>
      <c r="L33" s="12">
        <f>'Stavební rozpočet'!H142</f>
        <v>0</v>
      </c>
      <c r="M33" s="10" t="s">
        <v>20</v>
      </c>
      <c r="N33" s="11">
        <f t="shared" si="0"/>
        <v>0</v>
      </c>
      <c r="O33" s="2" t="s">
        <v>21</v>
      </c>
      <c r="P33" s="11">
        <f t="shared" si="1"/>
        <v>0</v>
      </c>
    </row>
    <row r="34" spans="1:16" ht="14.5" x14ac:dyDescent="0.35">
      <c r="A34" s="1" t="s">
        <v>64</v>
      </c>
      <c r="B34" s="74" t="s">
        <v>65</v>
      </c>
      <c r="C34" s="74"/>
      <c r="D34" s="74"/>
      <c r="E34" s="74"/>
      <c r="F34" s="74"/>
      <c r="G34" s="74"/>
      <c r="H34" s="74"/>
      <c r="I34" s="74"/>
      <c r="J34" s="74"/>
      <c r="K34" s="74"/>
      <c r="L34" s="12">
        <f>'Stavební rozpočet'!H152</f>
        <v>0</v>
      </c>
      <c r="M34" s="10" t="s">
        <v>20</v>
      </c>
      <c r="N34" s="11">
        <f t="shared" si="0"/>
        <v>0</v>
      </c>
      <c r="O34" s="2" t="s">
        <v>21</v>
      </c>
      <c r="P34" s="11">
        <f t="shared" si="1"/>
        <v>0</v>
      </c>
    </row>
    <row r="35" spans="1:16" ht="14.5" x14ac:dyDescent="0.35">
      <c r="A35" s="13" t="s">
        <v>66</v>
      </c>
      <c r="B35" s="93" t="s">
        <v>67</v>
      </c>
      <c r="C35" s="93"/>
      <c r="D35" s="93"/>
      <c r="E35" s="93"/>
      <c r="F35" s="93"/>
      <c r="G35" s="93"/>
      <c r="H35" s="93"/>
      <c r="I35" s="93"/>
      <c r="J35" s="93"/>
      <c r="K35" s="93"/>
      <c r="L35" s="15">
        <f>'Stavební rozpočet'!H157</f>
        <v>0</v>
      </c>
      <c r="M35" s="10" t="s">
        <v>20</v>
      </c>
      <c r="N35" s="11">
        <f t="shared" si="0"/>
        <v>0</v>
      </c>
      <c r="O35" s="2" t="s">
        <v>21</v>
      </c>
      <c r="P35" s="11">
        <f t="shared" si="1"/>
        <v>0</v>
      </c>
    </row>
    <row r="36" spans="1:16" ht="14.5" x14ac:dyDescent="0.35">
      <c r="J36" s="94" t="s">
        <v>68</v>
      </c>
      <c r="K36" s="94"/>
      <c r="L36" s="16">
        <f>SUM(N12:N35)</f>
        <v>0</v>
      </c>
    </row>
    <row r="37" spans="1:16" ht="14.5" x14ac:dyDescent="0.35">
      <c r="A37" s="17" t="s">
        <v>69</v>
      </c>
    </row>
    <row r="38" spans="1:16" ht="54" customHeight="1" x14ac:dyDescent="0.35">
      <c r="A38" s="81" t="s">
        <v>70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</sheetData>
  <sheetProtection password="C665" sheet="1"/>
  <mergeCells count="53">
    <mergeCell ref="J36:K36"/>
    <mergeCell ref="A38:L38"/>
    <mergeCell ref="B31:K31"/>
    <mergeCell ref="B32:K32"/>
    <mergeCell ref="B33:K33"/>
    <mergeCell ref="B34:K34"/>
    <mergeCell ref="B35:K35"/>
    <mergeCell ref="B26:K26"/>
    <mergeCell ref="B27:K27"/>
    <mergeCell ref="B28:K28"/>
    <mergeCell ref="B29:K29"/>
    <mergeCell ref="B30:K30"/>
    <mergeCell ref="B21:K21"/>
    <mergeCell ref="B22:K22"/>
    <mergeCell ref="B23:K23"/>
    <mergeCell ref="B24:K24"/>
    <mergeCell ref="B25:K25"/>
    <mergeCell ref="B16:K16"/>
    <mergeCell ref="B17:K17"/>
    <mergeCell ref="B18:K18"/>
    <mergeCell ref="B19:K19"/>
    <mergeCell ref="B20:K20"/>
    <mergeCell ref="B11:K11"/>
    <mergeCell ref="B12:K12"/>
    <mergeCell ref="B13:K13"/>
    <mergeCell ref="B14:K14"/>
    <mergeCell ref="B15:K15"/>
    <mergeCell ref="J2:L3"/>
    <mergeCell ref="J4:L5"/>
    <mergeCell ref="J6:L7"/>
    <mergeCell ref="J8:L9"/>
    <mergeCell ref="B10:K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796875" defaultRowHeight="15" customHeight="1" x14ac:dyDescent="0.35"/>
  <cols>
    <col min="1" max="1" width="9.1796875" customWidth="1"/>
    <col min="2" max="2" width="12.81640625" customWidth="1"/>
    <col min="3" max="3" width="22.81640625" customWidth="1"/>
    <col min="4" max="4" width="10" customWidth="1"/>
    <col min="5" max="5" width="14" customWidth="1"/>
    <col min="6" max="6" width="22.81640625" customWidth="1"/>
    <col min="7" max="7" width="9.1796875" customWidth="1"/>
    <col min="8" max="8" width="17.1796875" customWidth="1"/>
    <col min="9" max="9" width="22.81640625" customWidth="1"/>
  </cols>
  <sheetData>
    <row r="1" spans="1:9" ht="54.75" customHeight="1" x14ac:dyDescent="0.35">
      <c r="A1" s="95" t="s">
        <v>117</v>
      </c>
      <c r="B1" s="70"/>
      <c r="C1" s="70"/>
      <c r="D1" s="70"/>
      <c r="E1" s="70"/>
      <c r="F1" s="70"/>
      <c r="G1" s="70"/>
      <c r="H1" s="70"/>
      <c r="I1" s="70"/>
    </row>
    <row r="2" spans="1:9" ht="14.5" x14ac:dyDescent="0.35">
      <c r="A2" s="71" t="s">
        <v>1</v>
      </c>
      <c r="B2" s="72"/>
      <c r="C2" s="78" t="str">
        <f>'Stavební rozpočet'!C2</f>
        <v>Odstranění škod po povodni Revoluční 26, E.F.Buriana 1, 794 01 Krnov</v>
      </c>
      <c r="D2" s="79"/>
      <c r="E2" s="82" t="s">
        <v>3</v>
      </c>
      <c r="F2" s="82" t="str">
        <f>'Stavební rozpočet'!I2</f>
        <v>Město Krnov</v>
      </c>
      <c r="G2" s="72"/>
      <c r="H2" s="82" t="s">
        <v>72</v>
      </c>
      <c r="I2" s="83" t="s">
        <v>73</v>
      </c>
    </row>
    <row r="3" spans="1:9" ht="39" customHeight="1" x14ac:dyDescent="0.35">
      <c r="A3" s="73"/>
      <c r="B3" s="74"/>
      <c r="C3" s="80"/>
      <c r="D3" s="80"/>
      <c r="E3" s="74"/>
      <c r="F3" s="74"/>
      <c r="G3" s="74"/>
      <c r="H3" s="74"/>
      <c r="I3" s="84"/>
    </row>
    <row r="4" spans="1:9" ht="14.5" x14ac:dyDescent="0.35">
      <c r="A4" s="75" t="s">
        <v>4</v>
      </c>
      <c r="B4" s="74"/>
      <c r="C4" s="81" t="str">
        <f>'Stavební rozpočet'!C4</f>
        <v xml:space="preserve"> </v>
      </c>
      <c r="D4" s="74"/>
      <c r="E4" s="81" t="s">
        <v>6</v>
      </c>
      <c r="F4" s="81" t="str">
        <f>'Stavební rozpočet'!I4</f>
        <v> </v>
      </c>
      <c r="G4" s="74"/>
      <c r="H4" s="81" t="s">
        <v>72</v>
      </c>
      <c r="I4" s="84" t="s">
        <v>21</v>
      </c>
    </row>
    <row r="5" spans="1:9" ht="15" customHeight="1" x14ac:dyDescent="0.35">
      <c r="A5" s="73"/>
      <c r="B5" s="74"/>
      <c r="C5" s="74"/>
      <c r="D5" s="74"/>
      <c r="E5" s="74"/>
      <c r="F5" s="74"/>
      <c r="G5" s="74"/>
      <c r="H5" s="74"/>
      <c r="I5" s="84"/>
    </row>
    <row r="6" spans="1:9" ht="14.5" x14ac:dyDescent="0.35">
      <c r="A6" s="75" t="s">
        <v>7</v>
      </c>
      <c r="B6" s="74"/>
      <c r="C6" s="81" t="str">
        <f>'Stavební rozpočet'!C6</f>
        <v xml:space="preserve"> </v>
      </c>
      <c r="D6" s="74"/>
      <c r="E6" s="81" t="s">
        <v>9</v>
      </c>
      <c r="F6" s="81" t="str">
        <f>'Stavební rozpočet'!I6</f>
        <v> </v>
      </c>
      <c r="G6" s="74"/>
      <c r="H6" s="81" t="s">
        <v>72</v>
      </c>
      <c r="I6" s="84" t="s">
        <v>21</v>
      </c>
    </row>
    <row r="7" spans="1:9" ht="15" customHeight="1" x14ac:dyDescent="0.35">
      <c r="A7" s="73"/>
      <c r="B7" s="74"/>
      <c r="C7" s="74"/>
      <c r="D7" s="74"/>
      <c r="E7" s="74"/>
      <c r="F7" s="74"/>
      <c r="G7" s="74"/>
      <c r="H7" s="74"/>
      <c r="I7" s="84"/>
    </row>
    <row r="8" spans="1:9" ht="14.5" x14ac:dyDescent="0.35">
      <c r="A8" s="75" t="s">
        <v>5</v>
      </c>
      <c r="B8" s="74"/>
      <c r="C8" s="81" t="str">
        <f>'Stavební rozpočet'!G4</f>
        <v xml:space="preserve"> </v>
      </c>
      <c r="D8" s="74"/>
      <c r="E8" s="81" t="s">
        <v>8</v>
      </c>
      <c r="F8" s="81" t="str">
        <f>'Stavební rozpočet'!G6</f>
        <v xml:space="preserve"> </v>
      </c>
      <c r="G8" s="74"/>
      <c r="H8" s="74" t="s">
        <v>74</v>
      </c>
      <c r="I8" s="97">
        <v>107</v>
      </c>
    </row>
    <row r="9" spans="1:9" ht="14.5" x14ac:dyDescent="0.35">
      <c r="A9" s="73"/>
      <c r="B9" s="74"/>
      <c r="C9" s="74"/>
      <c r="D9" s="74"/>
      <c r="E9" s="74"/>
      <c r="F9" s="74"/>
      <c r="G9" s="74"/>
      <c r="H9" s="74"/>
      <c r="I9" s="84"/>
    </row>
    <row r="10" spans="1:9" ht="14.5" x14ac:dyDescent="0.35">
      <c r="A10" s="75" t="s">
        <v>10</v>
      </c>
      <c r="B10" s="74"/>
      <c r="C10" s="81" t="str">
        <f>'Stavební rozpočet'!C8</f>
        <v xml:space="preserve"> </v>
      </c>
      <c r="D10" s="74"/>
      <c r="E10" s="81" t="s">
        <v>12</v>
      </c>
      <c r="F10" s="81" t="str">
        <f>'Stavební rozpočet'!I8</f>
        <v> </v>
      </c>
      <c r="G10" s="74"/>
      <c r="H10" s="74" t="s">
        <v>75</v>
      </c>
      <c r="I10" s="98" t="str">
        <f>'Stavební rozpočet'!G8</f>
        <v>17.12.2024</v>
      </c>
    </row>
    <row r="11" spans="1:9" ht="14.5" x14ac:dyDescent="0.35">
      <c r="A11" s="96"/>
      <c r="B11" s="93"/>
      <c r="C11" s="93"/>
      <c r="D11" s="93"/>
      <c r="E11" s="93"/>
      <c r="F11" s="93"/>
      <c r="G11" s="93"/>
      <c r="H11" s="93"/>
      <c r="I11" s="99"/>
    </row>
    <row r="13" spans="1:9" ht="15.5" x14ac:dyDescent="0.35">
      <c r="A13" s="133" t="s">
        <v>118</v>
      </c>
      <c r="B13" s="133"/>
      <c r="C13" s="133"/>
      <c r="D13" s="133"/>
      <c r="E13" s="133"/>
    </row>
    <row r="14" spans="1:9" ht="14.5" x14ac:dyDescent="0.35">
      <c r="A14" s="134" t="s">
        <v>119</v>
      </c>
      <c r="B14" s="135"/>
      <c r="C14" s="135"/>
      <c r="D14" s="135"/>
      <c r="E14" s="136"/>
      <c r="F14" s="32" t="s">
        <v>120</v>
      </c>
      <c r="G14" s="32" t="s">
        <v>121</v>
      </c>
      <c r="H14" s="32" t="s">
        <v>122</v>
      </c>
      <c r="I14" s="32" t="s">
        <v>120</v>
      </c>
    </row>
    <row r="15" spans="1:9" ht="14.5" x14ac:dyDescent="0.35">
      <c r="A15" s="137" t="s">
        <v>85</v>
      </c>
      <c r="B15" s="138"/>
      <c r="C15" s="138"/>
      <c r="D15" s="138"/>
      <c r="E15" s="139"/>
      <c r="F15" s="33">
        <v>0</v>
      </c>
      <c r="G15" s="34" t="s">
        <v>21</v>
      </c>
      <c r="H15" s="34" t="s">
        <v>21</v>
      </c>
      <c r="I15" s="33">
        <f>F15</f>
        <v>0</v>
      </c>
    </row>
    <row r="16" spans="1:9" ht="14.5" x14ac:dyDescent="0.35">
      <c r="A16" s="137" t="s">
        <v>88</v>
      </c>
      <c r="B16" s="138"/>
      <c r="C16" s="138"/>
      <c r="D16" s="138"/>
      <c r="E16" s="139"/>
      <c r="F16" s="33">
        <v>0</v>
      </c>
      <c r="G16" s="34" t="s">
        <v>21</v>
      </c>
      <c r="H16" s="34" t="s">
        <v>21</v>
      </c>
      <c r="I16" s="33">
        <f>F16</f>
        <v>0</v>
      </c>
    </row>
    <row r="17" spans="1:9" ht="14.5" x14ac:dyDescent="0.35">
      <c r="A17" s="140" t="s">
        <v>91</v>
      </c>
      <c r="B17" s="141"/>
      <c r="C17" s="141"/>
      <c r="D17" s="141"/>
      <c r="E17" s="142"/>
      <c r="F17" s="35">
        <v>0</v>
      </c>
      <c r="G17" s="36" t="s">
        <v>21</v>
      </c>
      <c r="H17" s="36" t="s">
        <v>21</v>
      </c>
      <c r="I17" s="35">
        <f>F17</f>
        <v>0</v>
      </c>
    </row>
    <row r="18" spans="1:9" ht="14.5" x14ac:dyDescent="0.35">
      <c r="A18" s="143" t="s">
        <v>123</v>
      </c>
      <c r="B18" s="144"/>
      <c r="C18" s="144"/>
      <c r="D18" s="144"/>
      <c r="E18" s="145"/>
      <c r="F18" s="37" t="s">
        <v>21</v>
      </c>
      <c r="G18" s="38" t="s">
        <v>21</v>
      </c>
      <c r="H18" s="38" t="s">
        <v>21</v>
      </c>
      <c r="I18" s="39">
        <f>SUM(I15:I17)</f>
        <v>0</v>
      </c>
    </row>
    <row r="20" spans="1:9" ht="14.5" x14ac:dyDescent="0.35">
      <c r="A20" s="134" t="s">
        <v>82</v>
      </c>
      <c r="B20" s="135"/>
      <c r="C20" s="135"/>
      <c r="D20" s="135"/>
      <c r="E20" s="136"/>
      <c r="F20" s="32" t="s">
        <v>120</v>
      </c>
      <c r="G20" s="32" t="s">
        <v>121</v>
      </c>
      <c r="H20" s="32" t="s">
        <v>122</v>
      </c>
      <c r="I20" s="32" t="s">
        <v>120</v>
      </c>
    </row>
    <row r="21" spans="1:9" ht="14.5" x14ac:dyDescent="0.35">
      <c r="A21" s="137" t="s">
        <v>86</v>
      </c>
      <c r="B21" s="138"/>
      <c r="C21" s="138"/>
      <c r="D21" s="138"/>
      <c r="E21" s="139"/>
      <c r="F21" s="33">
        <v>0</v>
      </c>
      <c r="G21" s="34" t="s">
        <v>21</v>
      </c>
      <c r="H21" s="34" t="s">
        <v>21</v>
      </c>
      <c r="I21" s="33">
        <f t="shared" ref="I21:I26" si="0">F21</f>
        <v>0</v>
      </c>
    </row>
    <row r="22" spans="1:9" ht="14.5" x14ac:dyDescent="0.35">
      <c r="A22" s="137" t="s">
        <v>89</v>
      </c>
      <c r="B22" s="138"/>
      <c r="C22" s="138"/>
      <c r="D22" s="138"/>
      <c r="E22" s="139"/>
      <c r="F22" s="33">
        <v>0</v>
      </c>
      <c r="G22" s="34" t="s">
        <v>21</v>
      </c>
      <c r="H22" s="34" t="s">
        <v>21</v>
      </c>
      <c r="I22" s="33">
        <f t="shared" si="0"/>
        <v>0</v>
      </c>
    </row>
    <row r="23" spans="1:9" ht="14.5" x14ac:dyDescent="0.35">
      <c r="A23" s="137" t="s">
        <v>92</v>
      </c>
      <c r="B23" s="138"/>
      <c r="C23" s="138"/>
      <c r="D23" s="138"/>
      <c r="E23" s="139"/>
      <c r="F23" s="33">
        <v>0</v>
      </c>
      <c r="G23" s="34" t="s">
        <v>21</v>
      </c>
      <c r="H23" s="34" t="s">
        <v>21</v>
      </c>
      <c r="I23" s="33">
        <f t="shared" si="0"/>
        <v>0</v>
      </c>
    </row>
    <row r="24" spans="1:9" ht="14.5" x14ac:dyDescent="0.35">
      <c r="A24" s="137" t="s">
        <v>93</v>
      </c>
      <c r="B24" s="138"/>
      <c r="C24" s="138"/>
      <c r="D24" s="138"/>
      <c r="E24" s="139"/>
      <c r="F24" s="33">
        <v>0</v>
      </c>
      <c r="G24" s="34" t="s">
        <v>21</v>
      </c>
      <c r="H24" s="34" t="s">
        <v>21</v>
      </c>
      <c r="I24" s="33">
        <f t="shared" si="0"/>
        <v>0</v>
      </c>
    </row>
    <row r="25" spans="1:9" ht="14.5" x14ac:dyDescent="0.35">
      <c r="A25" s="137" t="s">
        <v>95</v>
      </c>
      <c r="B25" s="138"/>
      <c r="C25" s="138"/>
      <c r="D25" s="138"/>
      <c r="E25" s="139"/>
      <c r="F25" s="33">
        <v>0</v>
      </c>
      <c r="G25" s="34" t="s">
        <v>21</v>
      </c>
      <c r="H25" s="34" t="s">
        <v>21</v>
      </c>
      <c r="I25" s="33">
        <f t="shared" si="0"/>
        <v>0</v>
      </c>
    </row>
    <row r="26" spans="1:9" ht="14.5" x14ac:dyDescent="0.35">
      <c r="A26" s="140" t="s">
        <v>96</v>
      </c>
      <c r="B26" s="141"/>
      <c r="C26" s="141"/>
      <c r="D26" s="141"/>
      <c r="E26" s="142"/>
      <c r="F26" s="35">
        <v>0</v>
      </c>
      <c r="G26" s="36" t="s">
        <v>21</v>
      </c>
      <c r="H26" s="36" t="s">
        <v>21</v>
      </c>
      <c r="I26" s="35">
        <f t="shared" si="0"/>
        <v>0</v>
      </c>
    </row>
    <row r="27" spans="1:9" ht="14.5" x14ac:dyDescent="0.35">
      <c r="A27" s="143" t="s">
        <v>124</v>
      </c>
      <c r="B27" s="144"/>
      <c r="C27" s="144"/>
      <c r="D27" s="144"/>
      <c r="E27" s="145"/>
      <c r="F27" s="37" t="s">
        <v>21</v>
      </c>
      <c r="G27" s="38" t="s">
        <v>21</v>
      </c>
      <c r="H27" s="38" t="s">
        <v>21</v>
      </c>
      <c r="I27" s="39">
        <f>SUM(I21:I26)</f>
        <v>0</v>
      </c>
    </row>
    <row r="29" spans="1:9" ht="15.5" x14ac:dyDescent="0.35">
      <c r="A29" s="146" t="s">
        <v>125</v>
      </c>
      <c r="B29" s="147"/>
      <c r="C29" s="147"/>
      <c r="D29" s="147"/>
      <c r="E29" s="148"/>
      <c r="F29" s="149">
        <f>I18+I27</f>
        <v>0</v>
      </c>
      <c r="G29" s="150"/>
      <c r="H29" s="150"/>
      <c r="I29" s="151"/>
    </row>
    <row r="33" spans="1:9" ht="15.5" x14ac:dyDescent="0.35">
      <c r="A33" s="133" t="s">
        <v>126</v>
      </c>
      <c r="B33" s="133"/>
      <c r="C33" s="133"/>
      <c r="D33" s="133"/>
      <c r="E33" s="133"/>
    </row>
    <row r="34" spans="1:9" ht="14.5" x14ac:dyDescent="0.35">
      <c r="A34" s="134" t="s">
        <v>127</v>
      </c>
      <c r="B34" s="135"/>
      <c r="C34" s="135"/>
      <c r="D34" s="135"/>
      <c r="E34" s="136"/>
      <c r="F34" s="32" t="s">
        <v>120</v>
      </c>
      <c r="G34" s="32" t="s">
        <v>121</v>
      </c>
      <c r="H34" s="32" t="s">
        <v>122</v>
      </c>
      <c r="I34" s="32" t="s">
        <v>120</v>
      </c>
    </row>
    <row r="35" spans="1:9" ht="14.5" x14ac:dyDescent="0.35">
      <c r="A35" s="140" t="s">
        <v>21</v>
      </c>
      <c r="B35" s="141"/>
      <c r="C35" s="141"/>
      <c r="D35" s="141"/>
      <c r="E35" s="142"/>
      <c r="F35" s="35">
        <v>0</v>
      </c>
      <c r="G35" s="36" t="s">
        <v>21</v>
      </c>
      <c r="H35" s="36" t="s">
        <v>21</v>
      </c>
      <c r="I35" s="35">
        <f>F35</f>
        <v>0</v>
      </c>
    </row>
    <row r="36" spans="1:9" ht="14.5" x14ac:dyDescent="0.35">
      <c r="A36" s="143" t="s">
        <v>128</v>
      </c>
      <c r="B36" s="144"/>
      <c r="C36" s="144"/>
      <c r="D36" s="144"/>
      <c r="E36" s="145"/>
      <c r="F36" s="37" t="s">
        <v>21</v>
      </c>
      <c r="G36" s="38" t="s">
        <v>21</v>
      </c>
      <c r="H36" s="38" t="s">
        <v>21</v>
      </c>
      <c r="I36" s="39">
        <f>SUM(I35:I35)</f>
        <v>0</v>
      </c>
    </row>
  </sheetData>
  <sheetProtection password="C665" sheet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163"/>
  <sheetViews>
    <sheetView tabSelected="1" workbookViewId="0">
      <pane ySplit="11" topLeftCell="A12" activePane="bottomLeft" state="frozen"/>
      <selection pane="bottomLeft" activeCell="A163" sqref="A163:J163"/>
    </sheetView>
  </sheetViews>
  <sheetFormatPr defaultColWidth="12.1796875" defaultRowHeight="15" customHeight="1" x14ac:dyDescent="0.35"/>
  <cols>
    <col min="1" max="1" width="3.1796875" customWidth="1"/>
    <col min="2" max="2" width="17.81640625" customWidth="1"/>
    <col min="3" max="3" width="42.81640625" customWidth="1"/>
    <col min="4" max="4" width="35.7265625" customWidth="1"/>
    <col min="5" max="5" width="9.453125" customWidth="1"/>
    <col min="6" max="6" width="12.81640625" customWidth="1"/>
    <col min="7" max="7" width="12" customWidth="1"/>
    <col min="8" max="8" width="15.7265625" customWidth="1"/>
    <col min="9" max="10" width="11.7265625" customWidth="1"/>
    <col min="25" max="75" width="12.1796875" hidden="1"/>
    <col min="76" max="76" width="78.54296875" hidden="1" customWidth="1"/>
    <col min="77" max="78" width="12.1796875" hidden="1"/>
  </cols>
  <sheetData>
    <row r="1" spans="1:76" ht="54.75" customHeight="1" x14ac:dyDescent="0.35">
      <c r="A1" s="70" t="s">
        <v>129</v>
      </c>
      <c r="B1" s="70"/>
      <c r="C1" s="70"/>
      <c r="D1" s="70"/>
      <c r="E1" s="70"/>
      <c r="F1" s="70"/>
      <c r="G1" s="70"/>
      <c r="H1" s="70"/>
      <c r="I1" s="70"/>
      <c r="J1" s="70"/>
      <c r="AS1" s="40">
        <f>SUM(AJ1:AJ2)</f>
        <v>0</v>
      </c>
      <c r="AT1" s="40">
        <f>SUM(AK1:AK2)</f>
        <v>0</v>
      </c>
      <c r="AU1" s="40">
        <f>SUM(AL1:AL2)</f>
        <v>0</v>
      </c>
    </row>
    <row r="2" spans="1:76" ht="14.5" x14ac:dyDescent="0.35">
      <c r="A2" s="71" t="s">
        <v>1</v>
      </c>
      <c r="B2" s="72"/>
      <c r="C2" s="78" t="s">
        <v>130</v>
      </c>
      <c r="D2" s="79"/>
      <c r="E2" s="72" t="s">
        <v>2</v>
      </c>
      <c r="F2" s="72"/>
      <c r="G2" s="152" t="s">
        <v>13</v>
      </c>
      <c r="H2" s="82" t="s">
        <v>3</v>
      </c>
      <c r="I2" s="82" t="s">
        <v>131</v>
      </c>
      <c r="J2" s="83"/>
    </row>
    <row r="3" spans="1:76" ht="14.5" x14ac:dyDescent="0.35">
      <c r="A3" s="73"/>
      <c r="B3" s="74"/>
      <c r="C3" s="80"/>
      <c r="D3" s="80"/>
      <c r="E3" s="74"/>
      <c r="F3" s="74"/>
      <c r="G3" s="153"/>
      <c r="H3" s="74"/>
      <c r="I3" s="74"/>
      <c r="J3" s="84"/>
    </row>
    <row r="4" spans="1:76" ht="14.5" x14ac:dyDescent="0.35">
      <c r="A4" s="75" t="s">
        <v>4</v>
      </c>
      <c r="B4" s="74"/>
      <c r="C4" s="81" t="s">
        <v>13</v>
      </c>
      <c r="D4" s="74"/>
      <c r="E4" s="74" t="s">
        <v>5</v>
      </c>
      <c r="F4" s="74"/>
      <c r="G4" s="153" t="s">
        <v>13</v>
      </c>
      <c r="H4" s="81" t="s">
        <v>6</v>
      </c>
      <c r="I4" s="74" t="s">
        <v>132</v>
      </c>
      <c r="J4" s="84"/>
    </row>
    <row r="5" spans="1:76" ht="14.5" x14ac:dyDescent="0.35">
      <c r="A5" s="73"/>
      <c r="B5" s="74"/>
      <c r="C5" s="74"/>
      <c r="D5" s="74"/>
      <c r="E5" s="74"/>
      <c r="F5" s="74"/>
      <c r="G5" s="153"/>
      <c r="H5" s="74"/>
      <c r="I5" s="74"/>
      <c r="J5" s="84"/>
    </row>
    <row r="6" spans="1:76" ht="14.5" x14ac:dyDescent="0.35">
      <c r="A6" s="75" t="s">
        <v>7</v>
      </c>
      <c r="B6" s="74"/>
      <c r="C6" s="81" t="s">
        <v>13</v>
      </c>
      <c r="D6" s="74"/>
      <c r="E6" s="74" t="s">
        <v>8</v>
      </c>
      <c r="F6" s="74"/>
      <c r="G6" s="153" t="s">
        <v>13</v>
      </c>
      <c r="H6" s="81" t="s">
        <v>9</v>
      </c>
      <c r="I6" s="153" t="s">
        <v>132</v>
      </c>
      <c r="J6" s="155"/>
    </row>
    <row r="7" spans="1:76" ht="14.5" x14ac:dyDescent="0.35">
      <c r="A7" s="73"/>
      <c r="B7" s="74"/>
      <c r="C7" s="74"/>
      <c r="D7" s="74"/>
      <c r="E7" s="74"/>
      <c r="F7" s="74"/>
      <c r="G7" s="153"/>
      <c r="H7" s="74"/>
      <c r="I7" s="153"/>
      <c r="J7" s="155"/>
    </row>
    <row r="8" spans="1:76" ht="14.5" x14ac:dyDescent="0.35">
      <c r="A8" s="75" t="s">
        <v>10</v>
      </c>
      <c r="B8" s="74"/>
      <c r="C8" s="81" t="s">
        <v>13</v>
      </c>
      <c r="D8" s="74"/>
      <c r="E8" s="74" t="s">
        <v>11</v>
      </c>
      <c r="F8" s="74"/>
      <c r="G8" s="153" t="s">
        <v>133</v>
      </c>
      <c r="H8" s="81" t="s">
        <v>12</v>
      </c>
      <c r="I8" s="153" t="s">
        <v>132</v>
      </c>
      <c r="J8" s="155"/>
    </row>
    <row r="9" spans="1:76" ht="14.5" x14ac:dyDescent="0.35">
      <c r="A9" s="76"/>
      <c r="B9" s="77"/>
      <c r="C9" s="77"/>
      <c r="D9" s="77"/>
      <c r="E9" s="77"/>
      <c r="F9" s="77"/>
      <c r="G9" s="154"/>
      <c r="H9" s="77"/>
      <c r="I9" s="154"/>
      <c r="J9" s="156"/>
    </row>
    <row r="10" spans="1:76" ht="14.5" x14ac:dyDescent="0.35">
      <c r="A10" s="41" t="s">
        <v>134</v>
      </c>
      <c r="B10" s="42" t="s">
        <v>15</v>
      </c>
      <c r="C10" s="157" t="s">
        <v>135</v>
      </c>
      <c r="D10" s="158"/>
      <c r="E10" s="42" t="s">
        <v>136</v>
      </c>
      <c r="F10" s="43" t="s">
        <v>137</v>
      </c>
      <c r="G10" s="44" t="s">
        <v>138</v>
      </c>
      <c r="H10" s="5" t="s">
        <v>14</v>
      </c>
      <c r="I10" s="159" t="s">
        <v>139</v>
      </c>
      <c r="J10" s="160"/>
      <c r="BK10" s="45" t="s">
        <v>140</v>
      </c>
      <c r="BL10" s="46" t="s">
        <v>141</v>
      </c>
      <c r="BW10" s="46" t="s">
        <v>142</v>
      </c>
    </row>
    <row r="11" spans="1:76" ht="14.5" x14ac:dyDescent="0.35">
      <c r="A11" s="47" t="s">
        <v>13</v>
      </c>
      <c r="B11" s="48" t="s">
        <v>13</v>
      </c>
      <c r="C11" s="89" t="s">
        <v>143</v>
      </c>
      <c r="D11" s="91"/>
      <c r="E11" s="48" t="s">
        <v>13</v>
      </c>
      <c r="F11" s="48" t="s">
        <v>13</v>
      </c>
      <c r="G11" s="49" t="s">
        <v>144</v>
      </c>
      <c r="H11" s="7" t="s">
        <v>17</v>
      </c>
      <c r="I11" s="50" t="s">
        <v>145</v>
      </c>
      <c r="J11" s="51" t="s">
        <v>146</v>
      </c>
      <c r="Z11" s="45" t="s">
        <v>147</v>
      </c>
      <c r="AA11" s="45" t="s">
        <v>148</v>
      </c>
      <c r="AB11" s="45" t="s">
        <v>149</v>
      </c>
      <c r="AC11" s="45" t="s">
        <v>150</v>
      </c>
      <c r="AD11" s="45" t="s">
        <v>151</v>
      </c>
      <c r="AE11" s="45" t="s">
        <v>152</v>
      </c>
      <c r="AF11" s="45" t="s">
        <v>153</v>
      </c>
      <c r="AG11" s="45" t="s">
        <v>154</v>
      </c>
      <c r="AH11" s="45" t="s">
        <v>155</v>
      </c>
      <c r="BH11" s="45" t="s">
        <v>156</v>
      </c>
      <c r="BI11" s="45" t="s">
        <v>157</v>
      </c>
      <c r="BJ11" s="45" t="s">
        <v>158</v>
      </c>
    </row>
    <row r="12" spans="1:76" ht="14.5" x14ac:dyDescent="0.35">
      <c r="A12" s="52" t="s">
        <v>21</v>
      </c>
      <c r="B12" s="53" t="s">
        <v>18</v>
      </c>
      <c r="C12" s="161" t="s">
        <v>19</v>
      </c>
      <c r="D12" s="162"/>
      <c r="E12" s="54" t="s">
        <v>13</v>
      </c>
      <c r="F12" s="54" t="s">
        <v>13</v>
      </c>
      <c r="G12" s="55" t="s">
        <v>13</v>
      </c>
      <c r="H12" s="56">
        <f>SUM(H13:H13)</f>
        <v>0</v>
      </c>
      <c r="I12" s="57" t="s">
        <v>21</v>
      </c>
      <c r="J12" s="58" t="s">
        <v>21</v>
      </c>
      <c r="AI12" s="45" t="s">
        <v>21</v>
      </c>
      <c r="AS12" s="40">
        <f>SUM(AJ13:AJ13)</f>
        <v>0</v>
      </c>
      <c r="AT12" s="40">
        <f>SUM(AK13:AK13)</f>
        <v>0</v>
      </c>
      <c r="AU12" s="40">
        <f>SUM(AL13:AL13)</f>
        <v>0</v>
      </c>
    </row>
    <row r="13" spans="1:76" ht="14.5" x14ac:dyDescent="0.35">
      <c r="A13" s="1" t="s">
        <v>159</v>
      </c>
      <c r="B13" s="2" t="s">
        <v>160</v>
      </c>
      <c r="C13" s="81" t="s">
        <v>161</v>
      </c>
      <c r="D13" s="74"/>
      <c r="E13" s="2" t="s">
        <v>162</v>
      </c>
      <c r="F13" s="11">
        <v>2.5</v>
      </c>
      <c r="G13" s="59">
        <v>0</v>
      </c>
      <c r="H13" s="11">
        <f>F13*G13</f>
        <v>0</v>
      </c>
      <c r="I13" s="11">
        <v>0.12506999999999999</v>
      </c>
      <c r="J13" s="12">
        <v>0.12506999999999999</v>
      </c>
      <c r="Z13" s="11">
        <f>IF(AQ13="5",BJ13,0)</f>
        <v>0</v>
      </c>
      <c r="AB13" s="11">
        <f>IF(AQ13="1",BH13,0)</f>
        <v>0</v>
      </c>
      <c r="AC13" s="11">
        <f>IF(AQ13="1",BI13,0)</f>
        <v>0</v>
      </c>
      <c r="AD13" s="11">
        <f>IF(AQ13="7",BH13,0)</f>
        <v>0</v>
      </c>
      <c r="AE13" s="11">
        <f>IF(AQ13="7",BI13,0)</f>
        <v>0</v>
      </c>
      <c r="AF13" s="11">
        <f>IF(AQ13="2",BH13,0)</f>
        <v>0</v>
      </c>
      <c r="AG13" s="11">
        <f>IF(AQ13="2",BI13,0)</f>
        <v>0</v>
      </c>
      <c r="AH13" s="11">
        <f>IF(AQ13="0",BJ13,0)</f>
        <v>0</v>
      </c>
      <c r="AI13" s="45" t="s">
        <v>21</v>
      </c>
      <c r="AJ13" s="11">
        <f>IF(AN13=0,H13,0)</f>
        <v>0</v>
      </c>
      <c r="AK13" s="11">
        <f>IF(AN13=12,H13,0)</f>
        <v>0</v>
      </c>
      <c r="AL13" s="11">
        <f>IF(AN13=21,H13,0)</f>
        <v>0</v>
      </c>
      <c r="AN13" s="11">
        <v>12</v>
      </c>
      <c r="AO13" s="11">
        <f>G13*0.383872491</f>
        <v>0</v>
      </c>
      <c r="AP13" s="11">
        <f>G13*(1-0.383872491)</f>
        <v>0</v>
      </c>
      <c r="AQ13" s="60" t="s">
        <v>159</v>
      </c>
      <c r="AV13" s="11">
        <f>AW13+AX13</f>
        <v>0</v>
      </c>
      <c r="AW13" s="11">
        <f>F13*AO13</f>
        <v>0</v>
      </c>
      <c r="AX13" s="11">
        <f>F13*AP13</f>
        <v>0</v>
      </c>
      <c r="AY13" s="60" t="s">
        <v>163</v>
      </c>
      <c r="AZ13" s="60" t="s">
        <v>164</v>
      </c>
      <c r="BA13" s="45" t="s">
        <v>165</v>
      </c>
      <c r="BC13" s="11">
        <f>AW13+AX13</f>
        <v>0</v>
      </c>
      <c r="BD13" s="11">
        <f>G13/(100-BE13)*100</f>
        <v>0</v>
      </c>
      <c r="BE13" s="11">
        <v>0</v>
      </c>
      <c r="BF13" s="11">
        <f>13</f>
        <v>13</v>
      </c>
      <c r="BH13" s="11">
        <f>F13*AO13</f>
        <v>0</v>
      </c>
      <c r="BI13" s="11">
        <f>F13*AP13</f>
        <v>0</v>
      </c>
      <c r="BJ13" s="11">
        <f>F13*G13</f>
        <v>0</v>
      </c>
      <c r="BK13" s="11"/>
      <c r="BL13" s="11">
        <v>31</v>
      </c>
      <c r="BW13" s="11">
        <v>12</v>
      </c>
      <c r="BX13" s="3" t="s">
        <v>161</v>
      </c>
    </row>
    <row r="14" spans="1:76" ht="14.5" x14ac:dyDescent="0.35">
      <c r="A14" s="61" t="s">
        <v>21</v>
      </c>
      <c r="B14" s="62" t="s">
        <v>22</v>
      </c>
      <c r="C14" s="163" t="s">
        <v>23</v>
      </c>
      <c r="D14" s="164"/>
      <c r="E14" s="63" t="s">
        <v>13</v>
      </c>
      <c r="F14" s="63" t="s">
        <v>13</v>
      </c>
      <c r="G14" s="64" t="s">
        <v>13</v>
      </c>
      <c r="H14" s="40">
        <f>SUM(H15:H18)</f>
        <v>0</v>
      </c>
      <c r="I14" s="45" t="s">
        <v>21</v>
      </c>
      <c r="J14" s="65" t="s">
        <v>21</v>
      </c>
      <c r="AI14" s="45" t="s">
        <v>21</v>
      </c>
      <c r="AS14" s="40">
        <f>SUM(AJ15:AJ18)</f>
        <v>0</v>
      </c>
      <c r="AT14" s="40">
        <f>SUM(AK15:AK18)</f>
        <v>0</v>
      </c>
      <c r="AU14" s="40">
        <f>SUM(AL15:AL18)</f>
        <v>0</v>
      </c>
    </row>
    <row r="15" spans="1:76" ht="14.5" x14ac:dyDescent="0.35">
      <c r="A15" s="1" t="s">
        <v>166</v>
      </c>
      <c r="B15" s="2" t="s">
        <v>167</v>
      </c>
      <c r="C15" s="81" t="s">
        <v>168</v>
      </c>
      <c r="D15" s="74"/>
      <c r="E15" s="2" t="s">
        <v>162</v>
      </c>
      <c r="F15" s="11">
        <v>161.69999999999999</v>
      </c>
      <c r="G15" s="59">
        <v>0</v>
      </c>
      <c r="H15" s="11">
        <f>F15*G15</f>
        <v>0</v>
      </c>
      <c r="I15" s="11">
        <v>1.6000000000000001E-3</v>
      </c>
      <c r="J15" s="12">
        <v>1.6000000000000001E-3</v>
      </c>
      <c r="Z15" s="11">
        <f>IF(AQ15="5",BJ15,0)</f>
        <v>0</v>
      </c>
      <c r="AB15" s="11">
        <f>IF(AQ15="1",BH15,0)</f>
        <v>0</v>
      </c>
      <c r="AC15" s="11">
        <f>IF(AQ15="1",BI15,0)</f>
        <v>0</v>
      </c>
      <c r="AD15" s="11">
        <f>IF(AQ15="7",BH15,0)</f>
        <v>0</v>
      </c>
      <c r="AE15" s="11">
        <f>IF(AQ15="7",BI15,0)</f>
        <v>0</v>
      </c>
      <c r="AF15" s="11">
        <f>IF(AQ15="2",BH15,0)</f>
        <v>0</v>
      </c>
      <c r="AG15" s="11">
        <f>IF(AQ15="2",BI15,0)</f>
        <v>0</v>
      </c>
      <c r="AH15" s="11">
        <f>IF(AQ15="0",BJ15,0)</f>
        <v>0</v>
      </c>
      <c r="AI15" s="45" t="s">
        <v>21</v>
      </c>
      <c r="AJ15" s="11">
        <f>IF(AN15=0,H15,0)</f>
        <v>0</v>
      </c>
      <c r="AK15" s="11">
        <f>IF(AN15=12,H15,0)</f>
        <v>0</v>
      </c>
      <c r="AL15" s="11">
        <f>IF(AN15=21,H15,0)</f>
        <v>0</v>
      </c>
      <c r="AN15" s="11">
        <v>12</v>
      </c>
      <c r="AO15" s="11">
        <f>G15*0.891143911</f>
        <v>0</v>
      </c>
      <c r="AP15" s="11">
        <f>G15*(1-0.891143911)</f>
        <v>0</v>
      </c>
      <c r="AQ15" s="60" t="s">
        <v>159</v>
      </c>
      <c r="AV15" s="11">
        <f>AW15+AX15</f>
        <v>0</v>
      </c>
      <c r="AW15" s="11">
        <f>F15*AO15</f>
        <v>0</v>
      </c>
      <c r="AX15" s="11">
        <f>F15*AP15</f>
        <v>0</v>
      </c>
      <c r="AY15" s="60" t="s">
        <v>169</v>
      </c>
      <c r="AZ15" s="60" t="s">
        <v>170</v>
      </c>
      <c r="BA15" s="45" t="s">
        <v>165</v>
      </c>
      <c r="BC15" s="11">
        <f>AW15+AX15</f>
        <v>0</v>
      </c>
      <c r="BD15" s="11">
        <f>G15/(100-BE15)*100</f>
        <v>0</v>
      </c>
      <c r="BE15" s="11">
        <v>0</v>
      </c>
      <c r="BF15" s="11">
        <f>15</f>
        <v>15</v>
      </c>
      <c r="BH15" s="11">
        <f>F15*AO15</f>
        <v>0</v>
      </c>
      <c r="BI15" s="11">
        <f>F15*AP15</f>
        <v>0</v>
      </c>
      <c r="BJ15" s="11">
        <f>F15*G15</f>
        <v>0</v>
      </c>
      <c r="BK15" s="11"/>
      <c r="BL15" s="11">
        <v>61</v>
      </c>
      <c r="BW15" s="11">
        <v>12</v>
      </c>
      <c r="BX15" s="3" t="s">
        <v>168</v>
      </c>
    </row>
    <row r="16" spans="1:76" ht="14.5" x14ac:dyDescent="0.35">
      <c r="A16" s="1" t="s">
        <v>171</v>
      </c>
      <c r="B16" s="2" t="s">
        <v>172</v>
      </c>
      <c r="C16" s="81" t="s">
        <v>173</v>
      </c>
      <c r="D16" s="74"/>
      <c r="E16" s="2" t="s">
        <v>174</v>
      </c>
      <c r="F16" s="11">
        <v>10</v>
      </c>
      <c r="G16" s="59">
        <v>0</v>
      </c>
      <c r="H16" s="11">
        <f>F16*G16</f>
        <v>0</v>
      </c>
      <c r="I16" s="11">
        <v>2.5100000000000001E-3</v>
      </c>
      <c r="J16" s="12">
        <v>2.5100000000000001E-3</v>
      </c>
      <c r="Z16" s="11">
        <f>IF(AQ16="5",BJ16,0)</f>
        <v>0</v>
      </c>
      <c r="AB16" s="11">
        <f>IF(AQ16="1",BH16,0)</f>
        <v>0</v>
      </c>
      <c r="AC16" s="11">
        <f>IF(AQ16="1",BI16,0)</f>
        <v>0</v>
      </c>
      <c r="AD16" s="11">
        <f>IF(AQ16="7",BH16,0)</f>
        <v>0</v>
      </c>
      <c r="AE16" s="11">
        <f>IF(AQ16="7",BI16,0)</f>
        <v>0</v>
      </c>
      <c r="AF16" s="11">
        <f>IF(AQ16="2",BH16,0)</f>
        <v>0</v>
      </c>
      <c r="AG16" s="11">
        <f>IF(AQ16="2",BI16,0)</f>
        <v>0</v>
      </c>
      <c r="AH16" s="11">
        <f>IF(AQ16="0",BJ16,0)</f>
        <v>0</v>
      </c>
      <c r="AI16" s="45" t="s">
        <v>21</v>
      </c>
      <c r="AJ16" s="11">
        <f>IF(AN16=0,H16,0)</f>
        <v>0</v>
      </c>
      <c r="AK16" s="11">
        <f>IF(AN16=12,H16,0)</f>
        <v>0</v>
      </c>
      <c r="AL16" s="11">
        <f>IF(AN16=21,H16,0)</f>
        <v>0</v>
      </c>
      <c r="AN16" s="11">
        <v>12</v>
      </c>
      <c r="AO16" s="11">
        <f>G16*0.206953125</f>
        <v>0</v>
      </c>
      <c r="AP16" s="11">
        <f>G16*(1-0.206953125)</f>
        <v>0</v>
      </c>
      <c r="AQ16" s="60" t="s">
        <v>159</v>
      </c>
      <c r="AV16" s="11">
        <f>AW16+AX16</f>
        <v>0</v>
      </c>
      <c r="AW16" s="11">
        <f>F16*AO16</f>
        <v>0</v>
      </c>
      <c r="AX16" s="11">
        <f>F16*AP16</f>
        <v>0</v>
      </c>
      <c r="AY16" s="60" t="s">
        <v>169</v>
      </c>
      <c r="AZ16" s="60" t="s">
        <v>170</v>
      </c>
      <c r="BA16" s="45" t="s">
        <v>165</v>
      </c>
      <c r="BC16" s="11">
        <f>AW16+AX16</f>
        <v>0</v>
      </c>
      <c r="BD16" s="11">
        <f>G16/(100-BE16)*100</f>
        <v>0</v>
      </c>
      <c r="BE16" s="11">
        <v>0</v>
      </c>
      <c r="BF16" s="11">
        <f>16</f>
        <v>16</v>
      </c>
      <c r="BH16" s="11">
        <f>F16*AO16</f>
        <v>0</v>
      </c>
      <c r="BI16" s="11">
        <f>F16*AP16</f>
        <v>0</v>
      </c>
      <c r="BJ16" s="11">
        <f>F16*G16</f>
        <v>0</v>
      </c>
      <c r="BK16" s="11"/>
      <c r="BL16" s="11">
        <v>61</v>
      </c>
      <c r="BW16" s="11">
        <v>12</v>
      </c>
      <c r="BX16" s="3" t="s">
        <v>173</v>
      </c>
    </row>
    <row r="17" spans="1:76" ht="13.5" customHeight="1" x14ac:dyDescent="0.35">
      <c r="A17" s="66"/>
      <c r="B17" s="67" t="s">
        <v>175</v>
      </c>
      <c r="C17" s="165" t="s">
        <v>176</v>
      </c>
      <c r="D17" s="166"/>
      <c r="E17" s="166"/>
      <c r="F17" s="166"/>
      <c r="G17" s="167"/>
      <c r="H17" s="166"/>
      <c r="I17" s="166"/>
      <c r="J17" s="168"/>
    </row>
    <row r="18" spans="1:76" ht="14.5" x14ac:dyDescent="0.35">
      <c r="A18" s="1" t="s">
        <v>177</v>
      </c>
      <c r="B18" s="2" t="s">
        <v>178</v>
      </c>
      <c r="C18" s="81" t="s">
        <v>179</v>
      </c>
      <c r="D18" s="74"/>
      <c r="E18" s="2" t="s">
        <v>162</v>
      </c>
      <c r="F18" s="11">
        <v>727.00250000000005</v>
      </c>
      <c r="G18" s="59">
        <v>0</v>
      </c>
      <c r="H18" s="11">
        <f>F18*G18</f>
        <v>0</v>
      </c>
      <c r="I18" s="11">
        <v>1.98E-3</v>
      </c>
      <c r="J18" s="12">
        <v>1.98E-3</v>
      </c>
      <c r="Z18" s="11">
        <f>IF(AQ18="5",BJ18,0)</f>
        <v>0</v>
      </c>
      <c r="AB18" s="11">
        <f>IF(AQ18="1",BH18,0)</f>
        <v>0</v>
      </c>
      <c r="AC18" s="11">
        <f>IF(AQ18="1",BI18,0)</f>
        <v>0</v>
      </c>
      <c r="AD18" s="11">
        <f>IF(AQ18="7",BH18,0)</f>
        <v>0</v>
      </c>
      <c r="AE18" s="11">
        <f>IF(AQ18="7",BI18,0)</f>
        <v>0</v>
      </c>
      <c r="AF18" s="11">
        <f>IF(AQ18="2",BH18,0)</f>
        <v>0</v>
      </c>
      <c r="AG18" s="11">
        <f>IF(AQ18="2",BI18,0)</f>
        <v>0</v>
      </c>
      <c r="AH18" s="11">
        <f>IF(AQ18="0",BJ18,0)</f>
        <v>0</v>
      </c>
      <c r="AI18" s="45" t="s">
        <v>21</v>
      </c>
      <c r="AJ18" s="11">
        <f>IF(AN18=0,H18,0)</f>
        <v>0</v>
      </c>
      <c r="AK18" s="11">
        <f>IF(AN18=12,H18,0)</f>
        <v>0</v>
      </c>
      <c r="AL18" s="11">
        <f>IF(AN18=21,H18,0)</f>
        <v>0</v>
      </c>
      <c r="AN18" s="11">
        <v>12</v>
      </c>
      <c r="AO18" s="11">
        <f>G18*0.21337794</f>
        <v>0</v>
      </c>
      <c r="AP18" s="11">
        <f>G18*(1-0.21337794)</f>
        <v>0</v>
      </c>
      <c r="AQ18" s="60" t="s">
        <v>159</v>
      </c>
      <c r="AV18" s="11">
        <f>AW18+AX18</f>
        <v>0</v>
      </c>
      <c r="AW18" s="11">
        <f>F18*AO18</f>
        <v>0</v>
      </c>
      <c r="AX18" s="11">
        <f>F18*AP18</f>
        <v>0</v>
      </c>
      <c r="AY18" s="60" t="s">
        <v>169</v>
      </c>
      <c r="AZ18" s="60" t="s">
        <v>170</v>
      </c>
      <c r="BA18" s="45" t="s">
        <v>165</v>
      </c>
      <c r="BC18" s="11">
        <f>AW18+AX18</f>
        <v>0</v>
      </c>
      <c r="BD18" s="11">
        <f>G18/(100-BE18)*100</f>
        <v>0</v>
      </c>
      <c r="BE18" s="11">
        <v>0</v>
      </c>
      <c r="BF18" s="11">
        <f>18</f>
        <v>18</v>
      </c>
      <c r="BH18" s="11">
        <f>F18*AO18</f>
        <v>0</v>
      </c>
      <c r="BI18" s="11">
        <f>F18*AP18</f>
        <v>0</v>
      </c>
      <c r="BJ18" s="11">
        <f>F18*G18</f>
        <v>0</v>
      </c>
      <c r="BK18" s="11"/>
      <c r="BL18" s="11">
        <v>61</v>
      </c>
      <c r="BW18" s="11">
        <v>12</v>
      </c>
      <c r="BX18" s="3" t="s">
        <v>179</v>
      </c>
    </row>
    <row r="19" spans="1:76" ht="13.5" customHeight="1" x14ac:dyDescent="0.35">
      <c r="A19" s="66"/>
      <c r="B19" s="67" t="s">
        <v>175</v>
      </c>
      <c r="C19" s="165" t="s">
        <v>176</v>
      </c>
      <c r="D19" s="166"/>
      <c r="E19" s="166"/>
      <c r="F19" s="166"/>
      <c r="G19" s="167"/>
      <c r="H19" s="166"/>
      <c r="I19" s="166"/>
      <c r="J19" s="168"/>
    </row>
    <row r="20" spans="1:76" ht="14.5" x14ac:dyDescent="0.35">
      <c r="A20" s="61" t="s">
        <v>21</v>
      </c>
      <c r="B20" s="62" t="s">
        <v>24</v>
      </c>
      <c r="C20" s="163" t="s">
        <v>25</v>
      </c>
      <c r="D20" s="164"/>
      <c r="E20" s="63" t="s">
        <v>13</v>
      </c>
      <c r="F20" s="63" t="s">
        <v>13</v>
      </c>
      <c r="G20" s="64" t="s">
        <v>13</v>
      </c>
      <c r="H20" s="40">
        <f>SUM(H21:H23)</f>
        <v>0</v>
      </c>
      <c r="I20" s="45" t="s">
        <v>21</v>
      </c>
      <c r="J20" s="65" t="s">
        <v>21</v>
      </c>
      <c r="AI20" s="45" t="s">
        <v>21</v>
      </c>
      <c r="AS20" s="40">
        <f>SUM(AJ21:AJ23)</f>
        <v>0</v>
      </c>
      <c r="AT20" s="40">
        <f>SUM(AK21:AK23)</f>
        <v>0</v>
      </c>
      <c r="AU20" s="40">
        <f>SUM(AL21:AL23)</f>
        <v>0</v>
      </c>
    </row>
    <row r="21" spans="1:76" ht="14.5" x14ac:dyDescent="0.35">
      <c r="A21" s="1" t="s">
        <v>180</v>
      </c>
      <c r="B21" s="2" t="s">
        <v>181</v>
      </c>
      <c r="C21" s="81" t="s">
        <v>182</v>
      </c>
      <c r="D21" s="74"/>
      <c r="E21" s="2" t="s">
        <v>162</v>
      </c>
      <c r="F21" s="11">
        <v>42.042000000000002</v>
      </c>
      <c r="G21" s="59">
        <v>0</v>
      </c>
      <c r="H21" s="11">
        <f>F21*G21</f>
        <v>0</v>
      </c>
      <c r="I21" s="11">
        <v>2.9819999999999999E-2</v>
      </c>
      <c r="J21" s="12">
        <v>2.9819999999999999E-2</v>
      </c>
      <c r="Z21" s="11">
        <f>IF(AQ21="5",BJ21,0)</f>
        <v>0</v>
      </c>
      <c r="AB21" s="11">
        <f>IF(AQ21="1",BH21,0)</f>
        <v>0</v>
      </c>
      <c r="AC21" s="11">
        <f>IF(AQ21="1",BI21,0)</f>
        <v>0</v>
      </c>
      <c r="AD21" s="11">
        <f>IF(AQ21="7",BH21,0)</f>
        <v>0</v>
      </c>
      <c r="AE21" s="11">
        <f>IF(AQ21="7",BI21,0)</f>
        <v>0</v>
      </c>
      <c r="AF21" s="11">
        <f>IF(AQ21="2",BH21,0)</f>
        <v>0</v>
      </c>
      <c r="AG21" s="11">
        <f>IF(AQ21="2",BI21,0)</f>
        <v>0</v>
      </c>
      <c r="AH21" s="11">
        <f>IF(AQ21="0",BJ21,0)</f>
        <v>0</v>
      </c>
      <c r="AI21" s="45" t="s">
        <v>21</v>
      </c>
      <c r="AJ21" s="11">
        <f>IF(AN21=0,H21,0)</f>
        <v>0</v>
      </c>
      <c r="AK21" s="11">
        <f>IF(AN21=12,H21,0)</f>
        <v>0</v>
      </c>
      <c r="AL21" s="11">
        <f>IF(AN21=21,H21,0)</f>
        <v>0</v>
      </c>
      <c r="AN21" s="11">
        <v>12</v>
      </c>
      <c r="AO21" s="11">
        <f>G21*0.442427541</f>
        <v>0</v>
      </c>
      <c r="AP21" s="11">
        <f>G21*(1-0.442427541)</f>
        <v>0</v>
      </c>
      <c r="AQ21" s="60" t="s">
        <v>159</v>
      </c>
      <c r="AV21" s="11">
        <f>AW21+AX21</f>
        <v>0</v>
      </c>
      <c r="AW21" s="11">
        <f>F21*AO21</f>
        <v>0</v>
      </c>
      <c r="AX21" s="11">
        <f>F21*AP21</f>
        <v>0</v>
      </c>
      <c r="AY21" s="60" t="s">
        <v>183</v>
      </c>
      <c r="AZ21" s="60" t="s">
        <v>170</v>
      </c>
      <c r="BA21" s="45" t="s">
        <v>165</v>
      </c>
      <c r="BC21" s="11">
        <f>AW21+AX21</f>
        <v>0</v>
      </c>
      <c r="BD21" s="11">
        <f>G21/(100-BE21)*100</f>
        <v>0</v>
      </c>
      <c r="BE21" s="11">
        <v>0</v>
      </c>
      <c r="BF21" s="11">
        <f>21</f>
        <v>21</v>
      </c>
      <c r="BH21" s="11">
        <f>F21*AO21</f>
        <v>0</v>
      </c>
      <c r="BI21" s="11">
        <f>F21*AP21</f>
        <v>0</v>
      </c>
      <c r="BJ21" s="11">
        <f>F21*G21</f>
        <v>0</v>
      </c>
      <c r="BK21" s="11"/>
      <c r="BL21" s="11">
        <v>62</v>
      </c>
      <c r="BW21" s="11">
        <v>12</v>
      </c>
      <c r="BX21" s="3" t="s">
        <v>182</v>
      </c>
    </row>
    <row r="22" spans="1:76" ht="13.5" customHeight="1" x14ac:dyDescent="0.35">
      <c r="A22" s="66"/>
      <c r="B22" s="67" t="s">
        <v>175</v>
      </c>
      <c r="C22" s="165" t="s">
        <v>184</v>
      </c>
      <c r="D22" s="166"/>
      <c r="E22" s="166"/>
      <c r="F22" s="166"/>
      <c r="G22" s="167"/>
      <c r="H22" s="166"/>
      <c r="I22" s="166"/>
      <c r="J22" s="168"/>
    </row>
    <row r="23" spans="1:76" ht="14.5" x14ac:dyDescent="0.35">
      <c r="A23" s="1" t="s">
        <v>185</v>
      </c>
      <c r="B23" s="2" t="s">
        <v>186</v>
      </c>
      <c r="C23" s="81" t="s">
        <v>187</v>
      </c>
      <c r="D23" s="74"/>
      <c r="E23" s="2" t="s">
        <v>162</v>
      </c>
      <c r="F23" s="11">
        <v>42.042000000000002</v>
      </c>
      <c r="G23" s="59">
        <v>0</v>
      </c>
      <c r="H23" s="11">
        <f>F23*G23</f>
        <v>0</v>
      </c>
      <c r="I23" s="11">
        <v>8.0000000000000004E-4</v>
      </c>
      <c r="J23" s="12">
        <v>8.0000000000000004E-4</v>
      </c>
      <c r="Z23" s="11">
        <f>IF(AQ23="5",BJ23,0)</f>
        <v>0</v>
      </c>
      <c r="AB23" s="11">
        <f>IF(AQ23="1",BH23,0)</f>
        <v>0</v>
      </c>
      <c r="AC23" s="11">
        <f>IF(AQ23="1",BI23,0)</f>
        <v>0</v>
      </c>
      <c r="AD23" s="11">
        <f>IF(AQ23="7",BH23,0)</f>
        <v>0</v>
      </c>
      <c r="AE23" s="11">
        <f>IF(AQ23="7",BI23,0)</f>
        <v>0</v>
      </c>
      <c r="AF23" s="11">
        <f>IF(AQ23="2",BH23,0)</f>
        <v>0</v>
      </c>
      <c r="AG23" s="11">
        <f>IF(AQ23="2",BI23,0)</f>
        <v>0</v>
      </c>
      <c r="AH23" s="11">
        <f>IF(AQ23="0",BJ23,0)</f>
        <v>0</v>
      </c>
      <c r="AI23" s="45" t="s">
        <v>21</v>
      </c>
      <c r="AJ23" s="11">
        <f>IF(AN23=0,H23,0)</f>
        <v>0</v>
      </c>
      <c r="AK23" s="11">
        <f>IF(AN23=12,H23,0)</f>
        <v>0</v>
      </c>
      <c r="AL23" s="11">
        <f>IF(AN23=21,H23,0)</f>
        <v>0</v>
      </c>
      <c r="AN23" s="11">
        <v>12</v>
      </c>
      <c r="AO23" s="11">
        <f>G23*0.476484358</f>
        <v>0</v>
      </c>
      <c r="AP23" s="11">
        <f>G23*(1-0.476484358)</f>
        <v>0</v>
      </c>
      <c r="AQ23" s="60" t="s">
        <v>159</v>
      </c>
      <c r="AV23" s="11">
        <f>AW23+AX23</f>
        <v>0</v>
      </c>
      <c r="AW23" s="11">
        <f>F23*AO23</f>
        <v>0</v>
      </c>
      <c r="AX23" s="11">
        <f>F23*AP23</f>
        <v>0</v>
      </c>
      <c r="AY23" s="60" t="s">
        <v>183</v>
      </c>
      <c r="AZ23" s="60" t="s">
        <v>170</v>
      </c>
      <c r="BA23" s="45" t="s">
        <v>165</v>
      </c>
      <c r="BC23" s="11">
        <f>AW23+AX23</f>
        <v>0</v>
      </c>
      <c r="BD23" s="11">
        <f>G23/(100-BE23)*100</f>
        <v>0</v>
      </c>
      <c r="BE23" s="11">
        <v>0</v>
      </c>
      <c r="BF23" s="11">
        <f>23</f>
        <v>23</v>
      </c>
      <c r="BH23" s="11">
        <f>F23*AO23</f>
        <v>0</v>
      </c>
      <c r="BI23" s="11">
        <f>F23*AP23</f>
        <v>0</v>
      </c>
      <c r="BJ23" s="11">
        <f>F23*G23</f>
        <v>0</v>
      </c>
      <c r="BK23" s="11"/>
      <c r="BL23" s="11">
        <v>62</v>
      </c>
      <c r="BW23" s="11">
        <v>12</v>
      </c>
      <c r="BX23" s="3" t="s">
        <v>187</v>
      </c>
    </row>
    <row r="24" spans="1:76" ht="13.5" customHeight="1" x14ac:dyDescent="0.35">
      <c r="A24" s="66"/>
      <c r="B24" s="67" t="s">
        <v>175</v>
      </c>
      <c r="C24" s="165" t="s">
        <v>188</v>
      </c>
      <c r="D24" s="166"/>
      <c r="E24" s="166"/>
      <c r="F24" s="166"/>
      <c r="G24" s="167"/>
      <c r="H24" s="166"/>
      <c r="I24" s="166"/>
      <c r="J24" s="168"/>
    </row>
    <row r="25" spans="1:76" ht="14.5" x14ac:dyDescent="0.35">
      <c r="A25" s="61" t="s">
        <v>21</v>
      </c>
      <c r="B25" s="62" t="s">
        <v>26</v>
      </c>
      <c r="C25" s="163" t="s">
        <v>27</v>
      </c>
      <c r="D25" s="164"/>
      <c r="E25" s="63" t="s">
        <v>13</v>
      </c>
      <c r="F25" s="63" t="s">
        <v>13</v>
      </c>
      <c r="G25" s="64" t="s">
        <v>13</v>
      </c>
      <c r="H25" s="40">
        <f>SUM(H26:H27)</f>
        <v>0</v>
      </c>
      <c r="I25" s="45" t="s">
        <v>21</v>
      </c>
      <c r="J25" s="65" t="s">
        <v>21</v>
      </c>
      <c r="AI25" s="45" t="s">
        <v>21</v>
      </c>
      <c r="AS25" s="40">
        <f>SUM(AJ26:AJ27)</f>
        <v>0</v>
      </c>
      <c r="AT25" s="40">
        <f>SUM(AK26:AK27)</f>
        <v>0</v>
      </c>
      <c r="AU25" s="40">
        <f>SUM(AL26:AL27)</f>
        <v>0</v>
      </c>
    </row>
    <row r="26" spans="1:76" ht="14.5" x14ac:dyDescent="0.35">
      <c r="A26" s="1" t="s">
        <v>189</v>
      </c>
      <c r="B26" s="2" t="s">
        <v>190</v>
      </c>
      <c r="C26" s="81" t="s">
        <v>191</v>
      </c>
      <c r="D26" s="74"/>
      <c r="E26" s="2" t="s">
        <v>162</v>
      </c>
      <c r="F26" s="11">
        <v>161.69999999999999</v>
      </c>
      <c r="G26" s="59">
        <v>0</v>
      </c>
      <c r="H26" s="11">
        <f>F26*G26</f>
        <v>0</v>
      </c>
      <c r="I26" s="11">
        <v>1.7850000000000001E-2</v>
      </c>
      <c r="J26" s="12">
        <v>1.7850000000000001E-2</v>
      </c>
      <c r="Z26" s="11">
        <f>IF(AQ26="5",BJ26,0)</f>
        <v>0</v>
      </c>
      <c r="AB26" s="11">
        <f>IF(AQ26="1",BH26,0)</f>
        <v>0</v>
      </c>
      <c r="AC26" s="11">
        <f>IF(AQ26="1",BI26,0)</f>
        <v>0</v>
      </c>
      <c r="AD26" s="11">
        <f>IF(AQ26="7",BH26,0)</f>
        <v>0</v>
      </c>
      <c r="AE26" s="11">
        <f>IF(AQ26="7",BI26,0)</f>
        <v>0</v>
      </c>
      <c r="AF26" s="11">
        <f>IF(AQ26="2",BH26,0)</f>
        <v>0</v>
      </c>
      <c r="AG26" s="11">
        <f>IF(AQ26="2",BI26,0)</f>
        <v>0</v>
      </c>
      <c r="AH26" s="11">
        <f>IF(AQ26="0",BJ26,0)</f>
        <v>0</v>
      </c>
      <c r="AI26" s="45" t="s">
        <v>21</v>
      </c>
      <c r="AJ26" s="11">
        <f>IF(AN26=0,H26,0)</f>
        <v>0</v>
      </c>
      <c r="AK26" s="11">
        <f>IF(AN26=12,H26,0)</f>
        <v>0</v>
      </c>
      <c r="AL26" s="11">
        <f>IF(AN26=21,H26,0)</f>
        <v>0</v>
      </c>
      <c r="AN26" s="11">
        <v>12</v>
      </c>
      <c r="AO26" s="11">
        <f>G26*0.798998822</f>
        <v>0</v>
      </c>
      <c r="AP26" s="11">
        <f>G26*(1-0.798998822)</f>
        <v>0</v>
      </c>
      <c r="AQ26" s="60" t="s">
        <v>159</v>
      </c>
      <c r="AV26" s="11">
        <f>AW26+AX26</f>
        <v>0</v>
      </c>
      <c r="AW26" s="11">
        <f>F26*AO26</f>
        <v>0</v>
      </c>
      <c r="AX26" s="11">
        <f>F26*AP26</f>
        <v>0</v>
      </c>
      <c r="AY26" s="60" t="s">
        <v>192</v>
      </c>
      <c r="AZ26" s="60" t="s">
        <v>170</v>
      </c>
      <c r="BA26" s="45" t="s">
        <v>165</v>
      </c>
      <c r="BC26" s="11">
        <f>AW26+AX26</f>
        <v>0</v>
      </c>
      <c r="BD26" s="11">
        <f>G26/(100-BE26)*100</f>
        <v>0</v>
      </c>
      <c r="BE26" s="11">
        <v>0</v>
      </c>
      <c r="BF26" s="11">
        <f>26</f>
        <v>26</v>
      </c>
      <c r="BH26" s="11">
        <f>F26*AO26</f>
        <v>0</v>
      </c>
      <c r="BI26" s="11">
        <f>F26*AP26</f>
        <v>0</v>
      </c>
      <c r="BJ26" s="11">
        <f>F26*G26</f>
        <v>0</v>
      </c>
      <c r="BK26" s="11"/>
      <c r="BL26" s="11">
        <v>63</v>
      </c>
      <c r="BW26" s="11">
        <v>12</v>
      </c>
      <c r="BX26" s="3" t="s">
        <v>191</v>
      </c>
    </row>
    <row r="27" spans="1:76" ht="14.5" x14ac:dyDescent="0.35">
      <c r="A27" s="1" t="s">
        <v>193</v>
      </c>
      <c r="B27" s="2" t="s">
        <v>194</v>
      </c>
      <c r="C27" s="81" t="s">
        <v>195</v>
      </c>
      <c r="D27" s="74"/>
      <c r="E27" s="2" t="s">
        <v>162</v>
      </c>
      <c r="F27" s="11">
        <v>23.8</v>
      </c>
      <c r="G27" s="59">
        <v>0</v>
      </c>
      <c r="H27" s="11">
        <f>F27*G27</f>
        <v>0</v>
      </c>
      <c r="I27" s="11">
        <v>0.2525</v>
      </c>
      <c r="J27" s="12">
        <v>0.2525</v>
      </c>
      <c r="Z27" s="11">
        <f>IF(AQ27="5",BJ27,0)</f>
        <v>0</v>
      </c>
      <c r="AB27" s="11">
        <f>IF(AQ27="1",BH27,0)</f>
        <v>0</v>
      </c>
      <c r="AC27" s="11">
        <f>IF(AQ27="1",BI27,0)</f>
        <v>0</v>
      </c>
      <c r="AD27" s="11">
        <f>IF(AQ27="7",BH27,0)</f>
        <v>0</v>
      </c>
      <c r="AE27" s="11">
        <f>IF(AQ27="7",BI27,0)</f>
        <v>0</v>
      </c>
      <c r="AF27" s="11">
        <f>IF(AQ27="2",BH27,0)</f>
        <v>0</v>
      </c>
      <c r="AG27" s="11">
        <f>IF(AQ27="2",BI27,0)</f>
        <v>0</v>
      </c>
      <c r="AH27" s="11">
        <f>IF(AQ27="0",BJ27,0)</f>
        <v>0</v>
      </c>
      <c r="AI27" s="45" t="s">
        <v>21</v>
      </c>
      <c r="AJ27" s="11">
        <f>IF(AN27=0,H27,0)</f>
        <v>0</v>
      </c>
      <c r="AK27" s="11">
        <f>IF(AN27=12,H27,0)</f>
        <v>0</v>
      </c>
      <c r="AL27" s="11">
        <f>IF(AN27=21,H27,0)</f>
        <v>0</v>
      </c>
      <c r="AN27" s="11">
        <v>12</v>
      </c>
      <c r="AO27" s="11">
        <f>G27*0.574667457</f>
        <v>0</v>
      </c>
      <c r="AP27" s="11">
        <f>G27*(1-0.574667457)</f>
        <v>0</v>
      </c>
      <c r="AQ27" s="60" t="s">
        <v>159</v>
      </c>
      <c r="AV27" s="11">
        <f>AW27+AX27</f>
        <v>0</v>
      </c>
      <c r="AW27" s="11">
        <f>F27*AO27</f>
        <v>0</v>
      </c>
      <c r="AX27" s="11">
        <f>F27*AP27</f>
        <v>0</v>
      </c>
      <c r="AY27" s="60" t="s">
        <v>192</v>
      </c>
      <c r="AZ27" s="60" t="s">
        <v>170</v>
      </c>
      <c r="BA27" s="45" t="s">
        <v>165</v>
      </c>
      <c r="BC27" s="11">
        <f>AW27+AX27</f>
        <v>0</v>
      </c>
      <c r="BD27" s="11">
        <f>G27/(100-BE27)*100</f>
        <v>0</v>
      </c>
      <c r="BE27" s="11">
        <v>0</v>
      </c>
      <c r="BF27" s="11">
        <f>27</f>
        <v>27</v>
      </c>
      <c r="BH27" s="11">
        <f>F27*AO27</f>
        <v>0</v>
      </c>
      <c r="BI27" s="11">
        <f>F27*AP27</f>
        <v>0</v>
      </c>
      <c r="BJ27" s="11">
        <f>F27*G27</f>
        <v>0</v>
      </c>
      <c r="BK27" s="11"/>
      <c r="BL27" s="11">
        <v>63</v>
      </c>
      <c r="BW27" s="11">
        <v>12</v>
      </c>
      <c r="BX27" s="3" t="s">
        <v>195</v>
      </c>
    </row>
    <row r="28" spans="1:76" ht="14.5" x14ac:dyDescent="0.35">
      <c r="A28" s="61" t="s">
        <v>21</v>
      </c>
      <c r="B28" s="62" t="s">
        <v>28</v>
      </c>
      <c r="C28" s="163" t="s">
        <v>29</v>
      </c>
      <c r="D28" s="164"/>
      <c r="E28" s="63" t="s">
        <v>13</v>
      </c>
      <c r="F28" s="63" t="s">
        <v>13</v>
      </c>
      <c r="G28" s="64" t="s">
        <v>13</v>
      </c>
      <c r="H28" s="40">
        <f>SUM(H29:H29)</f>
        <v>0</v>
      </c>
      <c r="I28" s="45" t="s">
        <v>21</v>
      </c>
      <c r="J28" s="65" t="s">
        <v>21</v>
      </c>
      <c r="AI28" s="45" t="s">
        <v>21</v>
      </c>
      <c r="AS28" s="40">
        <f>SUM(AJ29:AJ29)</f>
        <v>0</v>
      </c>
      <c r="AT28" s="40">
        <f>SUM(AK29:AK29)</f>
        <v>0</v>
      </c>
      <c r="AU28" s="40">
        <f>SUM(AL29:AL29)</f>
        <v>0</v>
      </c>
    </row>
    <row r="29" spans="1:76" ht="14.5" x14ac:dyDescent="0.35">
      <c r="A29" s="1" t="s">
        <v>196</v>
      </c>
      <c r="B29" s="2" t="s">
        <v>197</v>
      </c>
      <c r="C29" s="81" t="s">
        <v>198</v>
      </c>
      <c r="D29" s="74"/>
      <c r="E29" s="2" t="s">
        <v>199</v>
      </c>
      <c r="F29" s="11">
        <v>1</v>
      </c>
      <c r="G29" s="59">
        <v>0</v>
      </c>
      <c r="H29" s="11">
        <f>F29*G29</f>
        <v>0</v>
      </c>
      <c r="I29" s="11">
        <v>7.0709999999999995E-2</v>
      </c>
      <c r="J29" s="12">
        <v>7.0709999999999995E-2</v>
      </c>
      <c r="Z29" s="11">
        <f>IF(AQ29="5",BJ29,0)</f>
        <v>0</v>
      </c>
      <c r="AB29" s="11">
        <f>IF(AQ29="1",BH29,0)</f>
        <v>0</v>
      </c>
      <c r="AC29" s="11">
        <f>IF(AQ29="1",BI29,0)</f>
        <v>0</v>
      </c>
      <c r="AD29" s="11">
        <f>IF(AQ29="7",BH29,0)</f>
        <v>0</v>
      </c>
      <c r="AE29" s="11">
        <f>IF(AQ29="7",BI29,0)</f>
        <v>0</v>
      </c>
      <c r="AF29" s="11">
        <f>IF(AQ29="2",BH29,0)</f>
        <v>0</v>
      </c>
      <c r="AG29" s="11">
        <f>IF(AQ29="2",BI29,0)</f>
        <v>0</v>
      </c>
      <c r="AH29" s="11">
        <f>IF(AQ29="0",BJ29,0)</f>
        <v>0</v>
      </c>
      <c r="AI29" s="45" t="s">
        <v>21</v>
      </c>
      <c r="AJ29" s="11">
        <f>IF(AN29=0,H29,0)</f>
        <v>0</v>
      </c>
      <c r="AK29" s="11">
        <f>IF(AN29=12,H29,0)</f>
        <v>0</v>
      </c>
      <c r="AL29" s="11">
        <f>IF(AN29=21,H29,0)</f>
        <v>0</v>
      </c>
      <c r="AN29" s="11">
        <v>12</v>
      </c>
      <c r="AO29" s="11">
        <f>G29*0.656102981</f>
        <v>0</v>
      </c>
      <c r="AP29" s="11">
        <f>G29*(1-0.656102981)</f>
        <v>0</v>
      </c>
      <c r="AQ29" s="60" t="s">
        <v>159</v>
      </c>
      <c r="AV29" s="11">
        <f>AW29+AX29</f>
        <v>0</v>
      </c>
      <c r="AW29" s="11">
        <f>F29*AO29</f>
        <v>0</v>
      </c>
      <c r="AX29" s="11">
        <f>F29*AP29</f>
        <v>0</v>
      </c>
      <c r="AY29" s="60" t="s">
        <v>200</v>
      </c>
      <c r="AZ29" s="60" t="s">
        <v>170</v>
      </c>
      <c r="BA29" s="45" t="s">
        <v>165</v>
      </c>
      <c r="BC29" s="11">
        <f>AW29+AX29</f>
        <v>0</v>
      </c>
      <c r="BD29" s="11">
        <f>G29/(100-BE29)*100</f>
        <v>0</v>
      </c>
      <c r="BE29" s="11">
        <v>0</v>
      </c>
      <c r="BF29" s="11">
        <f>29</f>
        <v>29</v>
      </c>
      <c r="BH29" s="11">
        <f>F29*AO29</f>
        <v>0</v>
      </c>
      <c r="BI29" s="11">
        <f>F29*AP29</f>
        <v>0</v>
      </c>
      <c r="BJ29" s="11">
        <f>F29*G29</f>
        <v>0</v>
      </c>
      <c r="BK29" s="11"/>
      <c r="BL29" s="11">
        <v>64</v>
      </c>
      <c r="BW29" s="11">
        <v>12</v>
      </c>
      <c r="BX29" s="3" t="s">
        <v>198</v>
      </c>
    </row>
    <row r="30" spans="1:76" ht="13.5" customHeight="1" x14ac:dyDescent="0.35">
      <c r="A30" s="66"/>
      <c r="B30" s="67" t="s">
        <v>175</v>
      </c>
      <c r="C30" s="165" t="s">
        <v>201</v>
      </c>
      <c r="D30" s="166"/>
      <c r="E30" s="166"/>
      <c r="F30" s="166"/>
      <c r="G30" s="167"/>
      <c r="H30" s="166"/>
      <c r="I30" s="166"/>
      <c r="J30" s="168"/>
    </row>
    <row r="31" spans="1:76" ht="14.5" x14ac:dyDescent="0.35">
      <c r="A31" s="61" t="s">
        <v>21</v>
      </c>
      <c r="B31" s="62" t="s">
        <v>30</v>
      </c>
      <c r="C31" s="163" t="s">
        <v>31</v>
      </c>
      <c r="D31" s="164"/>
      <c r="E31" s="63" t="s">
        <v>13</v>
      </c>
      <c r="F31" s="63" t="s">
        <v>13</v>
      </c>
      <c r="G31" s="64" t="s">
        <v>13</v>
      </c>
      <c r="H31" s="40">
        <f>SUM(H32:H35)</f>
        <v>0</v>
      </c>
      <c r="I31" s="45" t="s">
        <v>21</v>
      </c>
      <c r="J31" s="65" t="s">
        <v>21</v>
      </c>
      <c r="AI31" s="45" t="s">
        <v>21</v>
      </c>
      <c r="AS31" s="40">
        <f>SUM(AJ32:AJ35)</f>
        <v>0</v>
      </c>
      <c r="AT31" s="40">
        <f>SUM(AK32:AK35)</f>
        <v>0</v>
      </c>
      <c r="AU31" s="40">
        <f>SUM(AL32:AL35)</f>
        <v>0</v>
      </c>
    </row>
    <row r="32" spans="1:76" ht="14.5" x14ac:dyDescent="0.35">
      <c r="A32" s="1" t="s">
        <v>202</v>
      </c>
      <c r="B32" s="2" t="s">
        <v>203</v>
      </c>
      <c r="C32" s="81" t="s">
        <v>204</v>
      </c>
      <c r="D32" s="74"/>
      <c r="E32" s="2" t="s">
        <v>174</v>
      </c>
      <c r="F32" s="11">
        <v>1</v>
      </c>
      <c r="G32" s="59">
        <v>0</v>
      </c>
      <c r="H32" s="11">
        <f>F32*G32</f>
        <v>0</v>
      </c>
      <c r="I32" s="11">
        <v>3.8000000000000002E-4</v>
      </c>
      <c r="J32" s="12">
        <v>3.8000000000000002E-4</v>
      </c>
      <c r="Z32" s="11">
        <f>IF(AQ32="5",BJ32,0)</f>
        <v>0</v>
      </c>
      <c r="AB32" s="11">
        <f>IF(AQ32="1",BH32,0)</f>
        <v>0</v>
      </c>
      <c r="AC32" s="11">
        <f>IF(AQ32="1",BI32,0)</f>
        <v>0</v>
      </c>
      <c r="AD32" s="11">
        <f>IF(AQ32="7",BH32,0)</f>
        <v>0</v>
      </c>
      <c r="AE32" s="11">
        <f>IF(AQ32="7",BI32,0)</f>
        <v>0</v>
      </c>
      <c r="AF32" s="11">
        <f>IF(AQ32="2",BH32,0)</f>
        <v>0</v>
      </c>
      <c r="AG32" s="11">
        <f>IF(AQ32="2",BI32,0)</f>
        <v>0</v>
      </c>
      <c r="AH32" s="11">
        <f>IF(AQ32="0",BJ32,0)</f>
        <v>0</v>
      </c>
      <c r="AI32" s="45" t="s">
        <v>21</v>
      </c>
      <c r="AJ32" s="11">
        <f>IF(AN32=0,H32,0)</f>
        <v>0</v>
      </c>
      <c r="AK32" s="11">
        <f>IF(AN32=12,H32,0)</f>
        <v>0</v>
      </c>
      <c r="AL32" s="11">
        <f>IF(AN32=21,H32,0)</f>
        <v>0</v>
      </c>
      <c r="AN32" s="11">
        <v>12</v>
      </c>
      <c r="AO32" s="11">
        <f>G32*0.278442478</f>
        <v>0</v>
      </c>
      <c r="AP32" s="11">
        <f>G32*(1-0.278442478)</f>
        <v>0</v>
      </c>
      <c r="AQ32" s="60" t="s">
        <v>189</v>
      </c>
      <c r="AV32" s="11">
        <f>AW32+AX32</f>
        <v>0</v>
      </c>
      <c r="AW32" s="11">
        <f>F32*AO32</f>
        <v>0</v>
      </c>
      <c r="AX32" s="11">
        <f>F32*AP32</f>
        <v>0</v>
      </c>
      <c r="AY32" s="60" t="s">
        <v>205</v>
      </c>
      <c r="AZ32" s="60" t="s">
        <v>206</v>
      </c>
      <c r="BA32" s="45" t="s">
        <v>165</v>
      </c>
      <c r="BC32" s="11">
        <f>AW32+AX32</f>
        <v>0</v>
      </c>
      <c r="BD32" s="11">
        <f>G32/(100-BE32)*100</f>
        <v>0</v>
      </c>
      <c r="BE32" s="11">
        <v>0</v>
      </c>
      <c r="BF32" s="11">
        <f>32</f>
        <v>32</v>
      </c>
      <c r="BH32" s="11">
        <f>F32*AO32</f>
        <v>0</v>
      </c>
      <c r="BI32" s="11">
        <f>F32*AP32</f>
        <v>0</v>
      </c>
      <c r="BJ32" s="11">
        <f>F32*G32</f>
        <v>0</v>
      </c>
      <c r="BK32" s="11"/>
      <c r="BL32" s="11">
        <v>721</v>
      </c>
      <c r="BW32" s="11">
        <v>12</v>
      </c>
      <c r="BX32" s="3" t="s">
        <v>204</v>
      </c>
    </row>
    <row r="33" spans="1:76" ht="14.5" x14ac:dyDescent="0.35">
      <c r="A33" s="1" t="s">
        <v>207</v>
      </c>
      <c r="B33" s="2" t="s">
        <v>208</v>
      </c>
      <c r="C33" s="81" t="s">
        <v>209</v>
      </c>
      <c r="D33" s="74"/>
      <c r="E33" s="2" t="s">
        <v>199</v>
      </c>
      <c r="F33" s="11">
        <v>1</v>
      </c>
      <c r="G33" s="59">
        <v>0</v>
      </c>
      <c r="H33" s="11">
        <f>F33*G33</f>
        <v>0</v>
      </c>
      <c r="I33" s="11">
        <v>0</v>
      </c>
      <c r="J33" s="12">
        <v>0</v>
      </c>
      <c r="Z33" s="11">
        <f>IF(AQ33="5",BJ33,0)</f>
        <v>0</v>
      </c>
      <c r="AB33" s="11">
        <f>IF(AQ33="1",BH33,0)</f>
        <v>0</v>
      </c>
      <c r="AC33" s="11">
        <f>IF(AQ33="1",BI33,0)</f>
        <v>0</v>
      </c>
      <c r="AD33" s="11">
        <f>IF(AQ33="7",BH33,0)</f>
        <v>0</v>
      </c>
      <c r="AE33" s="11">
        <f>IF(AQ33="7",BI33,0)</f>
        <v>0</v>
      </c>
      <c r="AF33" s="11">
        <f>IF(AQ33="2",BH33,0)</f>
        <v>0</v>
      </c>
      <c r="AG33" s="11">
        <f>IF(AQ33="2",BI33,0)</f>
        <v>0</v>
      </c>
      <c r="AH33" s="11">
        <f>IF(AQ33="0",BJ33,0)</f>
        <v>0</v>
      </c>
      <c r="AI33" s="45" t="s">
        <v>21</v>
      </c>
      <c r="AJ33" s="11">
        <f>IF(AN33=0,H33,0)</f>
        <v>0</v>
      </c>
      <c r="AK33" s="11">
        <f>IF(AN33=12,H33,0)</f>
        <v>0</v>
      </c>
      <c r="AL33" s="11">
        <f>IF(AN33=21,H33,0)</f>
        <v>0</v>
      </c>
      <c r="AN33" s="11">
        <v>12</v>
      </c>
      <c r="AO33" s="11">
        <f>G33*0</f>
        <v>0</v>
      </c>
      <c r="AP33" s="11">
        <f>G33*(1-0)</f>
        <v>0</v>
      </c>
      <c r="AQ33" s="60" t="s">
        <v>189</v>
      </c>
      <c r="AV33" s="11">
        <f>AW33+AX33</f>
        <v>0</v>
      </c>
      <c r="AW33" s="11">
        <f>F33*AO33</f>
        <v>0</v>
      </c>
      <c r="AX33" s="11">
        <f>F33*AP33</f>
        <v>0</v>
      </c>
      <c r="AY33" s="60" t="s">
        <v>205</v>
      </c>
      <c r="AZ33" s="60" t="s">
        <v>206</v>
      </c>
      <c r="BA33" s="45" t="s">
        <v>165</v>
      </c>
      <c r="BC33" s="11">
        <f>AW33+AX33</f>
        <v>0</v>
      </c>
      <c r="BD33" s="11">
        <f>G33/(100-BE33)*100</f>
        <v>0</v>
      </c>
      <c r="BE33" s="11">
        <v>0</v>
      </c>
      <c r="BF33" s="11">
        <f>33</f>
        <v>33</v>
      </c>
      <c r="BH33" s="11">
        <f>F33*AO33</f>
        <v>0</v>
      </c>
      <c r="BI33" s="11">
        <f>F33*AP33</f>
        <v>0</v>
      </c>
      <c r="BJ33" s="11">
        <f>F33*G33</f>
        <v>0</v>
      </c>
      <c r="BK33" s="11"/>
      <c r="BL33" s="11">
        <v>721</v>
      </c>
      <c r="BW33" s="11">
        <v>12</v>
      </c>
      <c r="BX33" s="3" t="s">
        <v>209</v>
      </c>
    </row>
    <row r="34" spans="1:76" ht="14.5" x14ac:dyDescent="0.35">
      <c r="A34" s="1" t="s">
        <v>210</v>
      </c>
      <c r="B34" s="2" t="s">
        <v>211</v>
      </c>
      <c r="C34" s="81" t="s">
        <v>212</v>
      </c>
      <c r="D34" s="74"/>
      <c r="E34" s="2" t="s">
        <v>174</v>
      </c>
      <c r="F34" s="11">
        <v>1</v>
      </c>
      <c r="G34" s="59">
        <v>0</v>
      </c>
      <c r="H34" s="11">
        <f>F34*G34</f>
        <v>0</v>
      </c>
      <c r="I34" s="11">
        <v>0</v>
      </c>
      <c r="J34" s="12">
        <v>0</v>
      </c>
      <c r="Z34" s="11">
        <f>IF(AQ34="5",BJ34,0)</f>
        <v>0</v>
      </c>
      <c r="AB34" s="11">
        <f>IF(AQ34="1",BH34,0)</f>
        <v>0</v>
      </c>
      <c r="AC34" s="11">
        <f>IF(AQ34="1",BI34,0)</f>
        <v>0</v>
      </c>
      <c r="AD34" s="11">
        <f>IF(AQ34="7",BH34,0)</f>
        <v>0</v>
      </c>
      <c r="AE34" s="11">
        <f>IF(AQ34="7",BI34,0)</f>
        <v>0</v>
      </c>
      <c r="AF34" s="11">
        <f>IF(AQ34="2",BH34,0)</f>
        <v>0</v>
      </c>
      <c r="AG34" s="11">
        <f>IF(AQ34="2",BI34,0)</f>
        <v>0</v>
      </c>
      <c r="AH34" s="11">
        <f>IF(AQ34="0",BJ34,0)</f>
        <v>0</v>
      </c>
      <c r="AI34" s="45" t="s">
        <v>21</v>
      </c>
      <c r="AJ34" s="11">
        <f>IF(AN34=0,H34,0)</f>
        <v>0</v>
      </c>
      <c r="AK34" s="11">
        <f>IF(AN34=12,H34,0)</f>
        <v>0</v>
      </c>
      <c r="AL34" s="11">
        <f>IF(AN34=21,H34,0)</f>
        <v>0</v>
      </c>
      <c r="AN34" s="11">
        <v>12</v>
      </c>
      <c r="AO34" s="11">
        <f>G34*0</f>
        <v>0</v>
      </c>
      <c r="AP34" s="11">
        <f>G34*(1-0)</f>
        <v>0</v>
      </c>
      <c r="AQ34" s="60" t="s">
        <v>166</v>
      </c>
      <c r="AV34" s="11">
        <f>AW34+AX34</f>
        <v>0</v>
      </c>
      <c r="AW34" s="11">
        <f>F34*AO34</f>
        <v>0</v>
      </c>
      <c r="AX34" s="11">
        <f>F34*AP34</f>
        <v>0</v>
      </c>
      <c r="AY34" s="60" t="s">
        <v>205</v>
      </c>
      <c r="AZ34" s="60" t="s">
        <v>206</v>
      </c>
      <c r="BA34" s="45" t="s">
        <v>165</v>
      </c>
      <c r="BC34" s="11">
        <f>AW34+AX34</f>
        <v>0</v>
      </c>
      <c r="BD34" s="11">
        <f>G34/(100-BE34)*100</f>
        <v>0</v>
      </c>
      <c r="BE34" s="11">
        <v>0</v>
      </c>
      <c r="BF34" s="11">
        <f>34</f>
        <v>34</v>
      </c>
      <c r="BH34" s="11">
        <f>F34*AO34</f>
        <v>0</v>
      </c>
      <c r="BI34" s="11">
        <f>F34*AP34</f>
        <v>0</v>
      </c>
      <c r="BJ34" s="11">
        <f>F34*G34</f>
        <v>0</v>
      </c>
      <c r="BK34" s="11"/>
      <c r="BL34" s="11">
        <v>721</v>
      </c>
      <c r="BW34" s="11">
        <v>12</v>
      </c>
      <c r="BX34" s="3" t="s">
        <v>212</v>
      </c>
    </row>
    <row r="35" spans="1:76" ht="14.5" x14ac:dyDescent="0.35">
      <c r="A35" s="1" t="s">
        <v>213</v>
      </c>
      <c r="B35" s="2" t="s">
        <v>214</v>
      </c>
      <c r="C35" s="81" t="s">
        <v>215</v>
      </c>
      <c r="D35" s="74"/>
      <c r="E35" s="2" t="s">
        <v>121</v>
      </c>
      <c r="F35" s="11">
        <v>39.448999999999998</v>
      </c>
      <c r="G35" s="59">
        <v>0</v>
      </c>
      <c r="H35" s="11">
        <f>F35*G35</f>
        <v>0</v>
      </c>
      <c r="I35" s="11">
        <v>0</v>
      </c>
      <c r="J35" s="12">
        <v>0</v>
      </c>
      <c r="Z35" s="11">
        <f>IF(AQ35="5",BJ35,0)</f>
        <v>0</v>
      </c>
      <c r="AB35" s="11">
        <f>IF(AQ35="1",BH35,0)</f>
        <v>0</v>
      </c>
      <c r="AC35" s="11">
        <f>IF(AQ35="1",BI35,0)</f>
        <v>0</v>
      </c>
      <c r="AD35" s="11">
        <f>IF(AQ35="7",BH35,0)</f>
        <v>0</v>
      </c>
      <c r="AE35" s="11">
        <f>IF(AQ35="7",BI35,0)</f>
        <v>0</v>
      </c>
      <c r="AF35" s="11">
        <f>IF(AQ35="2",BH35,0)</f>
        <v>0</v>
      </c>
      <c r="AG35" s="11">
        <f>IF(AQ35="2",BI35,0)</f>
        <v>0</v>
      </c>
      <c r="AH35" s="11">
        <f>IF(AQ35="0",BJ35,0)</f>
        <v>0</v>
      </c>
      <c r="AI35" s="45" t="s">
        <v>21</v>
      </c>
      <c r="AJ35" s="11">
        <f>IF(AN35=0,H35,0)</f>
        <v>0</v>
      </c>
      <c r="AK35" s="11">
        <f>IF(AN35=12,H35,0)</f>
        <v>0</v>
      </c>
      <c r="AL35" s="11">
        <f>IF(AN35=21,H35,0)</f>
        <v>0</v>
      </c>
      <c r="AN35" s="11">
        <v>12</v>
      </c>
      <c r="AO35" s="11">
        <f>G35*0</f>
        <v>0</v>
      </c>
      <c r="AP35" s="11">
        <f>G35*(1-0)</f>
        <v>0</v>
      </c>
      <c r="AQ35" s="60" t="s">
        <v>180</v>
      </c>
      <c r="AV35" s="11">
        <f>AW35+AX35</f>
        <v>0</v>
      </c>
      <c r="AW35" s="11">
        <f>F35*AO35</f>
        <v>0</v>
      </c>
      <c r="AX35" s="11">
        <f>F35*AP35</f>
        <v>0</v>
      </c>
      <c r="AY35" s="60" t="s">
        <v>205</v>
      </c>
      <c r="AZ35" s="60" t="s">
        <v>206</v>
      </c>
      <c r="BA35" s="45" t="s">
        <v>165</v>
      </c>
      <c r="BC35" s="11">
        <f>AW35+AX35</f>
        <v>0</v>
      </c>
      <c r="BD35" s="11">
        <f>G35/(100-BE35)*100</f>
        <v>0</v>
      </c>
      <c r="BE35" s="11">
        <v>0</v>
      </c>
      <c r="BF35" s="11">
        <f>35</f>
        <v>35</v>
      </c>
      <c r="BH35" s="11">
        <f>F35*AO35</f>
        <v>0</v>
      </c>
      <c r="BI35" s="11">
        <f>F35*AP35</f>
        <v>0</v>
      </c>
      <c r="BJ35" s="11">
        <f>F35*G35</f>
        <v>0</v>
      </c>
      <c r="BK35" s="11"/>
      <c r="BL35" s="11">
        <v>721</v>
      </c>
      <c r="BW35" s="11">
        <v>12</v>
      </c>
      <c r="BX35" s="3" t="s">
        <v>215</v>
      </c>
    </row>
    <row r="36" spans="1:76" ht="14.5" x14ac:dyDescent="0.35">
      <c r="A36" s="61" t="s">
        <v>21</v>
      </c>
      <c r="B36" s="62" t="s">
        <v>32</v>
      </c>
      <c r="C36" s="163" t="s">
        <v>33</v>
      </c>
      <c r="D36" s="164"/>
      <c r="E36" s="63" t="s">
        <v>13</v>
      </c>
      <c r="F36" s="63" t="s">
        <v>13</v>
      </c>
      <c r="G36" s="64" t="s">
        <v>13</v>
      </c>
      <c r="H36" s="40">
        <f>SUM(H37:H41)</f>
        <v>0</v>
      </c>
      <c r="I36" s="45" t="s">
        <v>21</v>
      </c>
      <c r="J36" s="65" t="s">
        <v>21</v>
      </c>
      <c r="AI36" s="45" t="s">
        <v>21</v>
      </c>
      <c r="AS36" s="40">
        <f>SUM(AJ37:AJ41)</f>
        <v>0</v>
      </c>
      <c r="AT36" s="40">
        <f>SUM(AK37:AK41)</f>
        <v>0</v>
      </c>
      <c r="AU36" s="40">
        <f>SUM(AL37:AL41)</f>
        <v>0</v>
      </c>
    </row>
    <row r="37" spans="1:76" ht="14.5" x14ac:dyDescent="0.35">
      <c r="A37" s="1" t="s">
        <v>216</v>
      </c>
      <c r="B37" s="2" t="s">
        <v>217</v>
      </c>
      <c r="C37" s="81" t="s">
        <v>218</v>
      </c>
      <c r="D37" s="74"/>
      <c r="E37" s="2" t="s">
        <v>199</v>
      </c>
      <c r="F37" s="11">
        <v>1</v>
      </c>
      <c r="G37" s="59">
        <v>0</v>
      </c>
      <c r="H37" s="11">
        <f>F37*G37</f>
        <v>0</v>
      </c>
      <c r="I37" s="11">
        <v>1.0399999999999999E-3</v>
      </c>
      <c r="J37" s="12">
        <v>1.0399999999999999E-3</v>
      </c>
      <c r="Z37" s="11">
        <f>IF(AQ37="5",BJ37,0)</f>
        <v>0</v>
      </c>
      <c r="AB37" s="11">
        <f>IF(AQ37="1",BH37,0)</f>
        <v>0</v>
      </c>
      <c r="AC37" s="11">
        <f>IF(AQ37="1",BI37,0)</f>
        <v>0</v>
      </c>
      <c r="AD37" s="11">
        <f>IF(AQ37="7",BH37,0)</f>
        <v>0</v>
      </c>
      <c r="AE37" s="11">
        <f>IF(AQ37="7",BI37,0)</f>
        <v>0</v>
      </c>
      <c r="AF37" s="11">
        <f>IF(AQ37="2",BH37,0)</f>
        <v>0</v>
      </c>
      <c r="AG37" s="11">
        <f>IF(AQ37="2",BI37,0)</f>
        <v>0</v>
      </c>
      <c r="AH37" s="11">
        <f>IF(AQ37="0",BJ37,0)</f>
        <v>0</v>
      </c>
      <c r="AI37" s="45" t="s">
        <v>21</v>
      </c>
      <c r="AJ37" s="11">
        <f>IF(AN37=0,H37,0)</f>
        <v>0</v>
      </c>
      <c r="AK37" s="11">
        <f>IF(AN37=12,H37,0)</f>
        <v>0</v>
      </c>
      <c r="AL37" s="11">
        <f>IF(AN37=21,H37,0)</f>
        <v>0</v>
      </c>
      <c r="AN37" s="11">
        <v>12</v>
      </c>
      <c r="AO37" s="11">
        <f>G37*0.861652812</f>
        <v>0</v>
      </c>
      <c r="AP37" s="11">
        <f>G37*(1-0.861652812)</f>
        <v>0</v>
      </c>
      <c r="AQ37" s="60" t="s">
        <v>189</v>
      </c>
      <c r="AV37" s="11">
        <f>AW37+AX37</f>
        <v>0</v>
      </c>
      <c r="AW37" s="11">
        <f>F37*AO37</f>
        <v>0</v>
      </c>
      <c r="AX37" s="11">
        <f>F37*AP37</f>
        <v>0</v>
      </c>
      <c r="AY37" s="60" t="s">
        <v>219</v>
      </c>
      <c r="AZ37" s="60" t="s">
        <v>206</v>
      </c>
      <c r="BA37" s="45" t="s">
        <v>165</v>
      </c>
      <c r="BC37" s="11">
        <f>AW37+AX37</f>
        <v>0</v>
      </c>
      <c r="BD37" s="11">
        <f>G37/(100-BE37)*100</f>
        <v>0</v>
      </c>
      <c r="BE37" s="11">
        <v>0</v>
      </c>
      <c r="BF37" s="11">
        <f>37</f>
        <v>37</v>
      </c>
      <c r="BH37" s="11">
        <f>F37*AO37</f>
        <v>0</v>
      </c>
      <c r="BI37" s="11">
        <f>F37*AP37</f>
        <v>0</v>
      </c>
      <c r="BJ37" s="11">
        <f>F37*G37</f>
        <v>0</v>
      </c>
      <c r="BK37" s="11"/>
      <c r="BL37" s="11">
        <v>725</v>
      </c>
      <c r="BW37" s="11">
        <v>12</v>
      </c>
      <c r="BX37" s="3" t="s">
        <v>218</v>
      </c>
    </row>
    <row r="38" spans="1:76" ht="13.5" customHeight="1" x14ac:dyDescent="0.35">
      <c r="A38" s="66"/>
      <c r="B38" s="67" t="s">
        <v>175</v>
      </c>
      <c r="C38" s="165" t="s">
        <v>220</v>
      </c>
      <c r="D38" s="166"/>
      <c r="E38" s="166"/>
      <c r="F38" s="166"/>
      <c r="G38" s="167"/>
      <c r="H38" s="166"/>
      <c r="I38" s="166"/>
      <c r="J38" s="168"/>
    </row>
    <row r="39" spans="1:76" ht="14.5" x14ac:dyDescent="0.35">
      <c r="A39" s="1" t="s">
        <v>221</v>
      </c>
      <c r="B39" s="2" t="s">
        <v>222</v>
      </c>
      <c r="C39" s="81" t="s">
        <v>223</v>
      </c>
      <c r="D39" s="74"/>
      <c r="E39" s="2" t="s">
        <v>224</v>
      </c>
      <c r="F39" s="11">
        <v>1</v>
      </c>
      <c r="G39" s="59">
        <v>0</v>
      </c>
      <c r="H39" s="11">
        <f>F39*G39</f>
        <v>0</v>
      </c>
      <c r="I39" s="11">
        <v>7.2000000000000005E-4</v>
      </c>
      <c r="J39" s="12">
        <v>7.2000000000000005E-4</v>
      </c>
      <c r="Z39" s="11">
        <f>IF(AQ39="5",BJ39,0)</f>
        <v>0</v>
      </c>
      <c r="AB39" s="11">
        <f>IF(AQ39="1",BH39,0)</f>
        <v>0</v>
      </c>
      <c r="AC39" s="11">
        <f>IF(AQ39="1",BI39,0)</f>
        <v>0</v>
      </c>
      <c r="AD39" s="11">
        <f>IF(AQ39="7",BH39,0)</f>
        <v>0</v>
      </c>
      <c r="AE39" s="11">
        <f>IF(AQ39="7",BI39,0)</f>
        <v>0</v>
      </c>
      <c r="AF39" s="11">
        <f>IF(AQ39="2",BH39,0)</f>
        <v>0</v>
      </c>
      <c r="AG39" s="11">
        <f>IF(AQ39="2",BI39,0)</f>
        <v>0</v>
      </c>
      <c r="AH39" s="11">
        <f>IF(AQ39="0",BJ39,0)</f>
        <v>0</v>
      </c>
      <c r="AI39" s="45" t="s">
        <v>21</v>
      </c>
      <c r="AJ39" s="11">
        <f>IF(AN39=0,H39,0)</f>
        <v>0</v>
      </c>
      <c r="AK39" s="11">
        <f>IF(AN39=12,H39,0)</f>
        <v>0</v>
      </c>
      <c r="AL39" s="11">
        <f>IF(AN39=21,H39,0)</f>
        <v>0</v>
      </c>
      <c r="AN39" s="11">
        <v>12</v>
      </c>
      <c r="AO39" s="11">
        <f>G39*0.679917213</f>
        <v>0</v>
      </c>
      <c r="AP39" s="11">
        <f>G39*(1-0.679917213)</f>
        <v>0</v>
      </c>
      <c r="AQ39" s="60" t="s">
        <v>189</v>
      </c>
      <c r="AV39" s="11">
        <f>AW39+AX39</f>
        <v>0</v>
      </c>
      <c r="AW39" s="11">
        <f>F39*AO39</f>
        <v>0</v>
      </c>
      <c r="AX39" s="11">
        <f>F39*AP39</f>
        <v>0</v>
      </c>
      <c r="AY39" s="60" t="s">
        <v>219</v>
      </c>
      <c r="AZ39" s="60" t="s">
        <v>206</v>
      </c>
      <c r="BA39" s="45" t="s">
        <v>165</v>
      </c>
      <c r="BC39" s="11">
        <f>AW39+AX39</f>
        <v>0</v>
      </c>
      <c r="BD39" s="11">
        <f>G39/(100-BE39)*100</f>
        <v>0</v>
      </c>
      <c r="BE39" s="11">
        <v>0</v>
      </c>
      <c r="BF39" s="11">
        <f>39</f>
        <v>39</v>
      </c>
      <c r="BH39" s="11">
        <f>F39*AO39</f>
        <v>0</v>
      </c>
      <c r="BI39" s="11">
        <f>F39*AP39</f>
        <v>0</v>
      </c>
      <c r="BJ39" s="11">
        <f>F39*G39</f>
        <v>0</v>
      </c>
      <c r="BK39" s="11"/>
      <c r="BL39" s="11">
        <v>725</v>
      </c>
      <c r="BW39" s="11">
        <v>12</v>
      </c>
      <c r="BX39" s="3" t="s">
        <v>223</v>
      </c>
    </row>
    <row r="40" spans="1:76" ht="14.5" x14ac:dyDescent="0.35">
      <c r="A40" s="1" t="s">
        <v>225</v>
      </c>
      <c r="B40" s="2" t="s">
        <v>226</v>
      </c>
      <c r="C40" s="81" t="s">
        <v>227</v>
      </c>
      <c r="D40" s="74"/>
      <c r="E40" s="2" t="s">
        <v>199</v>
      </c>
      <c r="F40" s="11">
        <v>1</v>
      </c>
      <c r="G40" s="59">
        <v>0</v>
      </c>
      <c r="H40" s="11">
        <f>F40*G40</f>
        <v>0</v>
      </c>
      <c r="I40" s="11">
        <v>1.4E-2</v>
      </c>
      <c r="J40" s="12">
        <v>1.4E-2</v>
      </c>
      <c r="Z40" s="11">
        <f>IF(AQ40="5",BJ40,0)</f>
        <v>0</v>
      </c>
      <c r="AB40" s="11">
        <f>IF(AQ40="1",BH40,0)</f>
        <v>0</v>
      </c>
      <c r="AC40" s="11">
        <f>IF(AQ40="1",BI40,0)</f>
        <v>0</v>
      </c>
      <c r="AD40" s="11">
        <f>IF(AQ40="7",BH40,0)</f>
        <v>0</v>
      </c>
      <c r="AE40" s="11">
        <f>IF(AQ40="7",BI40,0)</f>
        <v>0</v>
      </c>
      <c r="AF40" s="11">
        <f>IF(AQ40="2",BH40,0)</f>
        <v>0</v>
      </c>
      <c r="AG40" s="11">
        <f>IF(AQ40="2",BI40,0)</f>
        <v>0</v>
      </c>
      <c r="AH40" s="11">
        <f>IF(AQ40="0",BJ40,0)</f>
        <v>0</v>
      </c>
      <c r="AI40" s="45" t="s">
        <v>21</v>
      </c>
      <c r="AJ40" s="11">
        <f>IF(AN40=0,H40,0)</f>
        <v>0</v>
      </c>
      <c r="AK40" s="11">
        <f>IF(AN40=12,H40,0)</f>
        <v>0</v>
      </c>
      <c r="AL40" s="11">
        <f>IF(AN40=21,H40,0)</f>
        <v>0</v>
      </c>
      <c r="AN40" s="11">
        <v>12</v>
      </c>
      <c r="AO40" s="11">
        <f>G40*1</f>
        <v>0</v>
      </c>
      <c r="AP40" s="11">
        <f>G40*(1-1)</f>
        <v>0</v>
      </c>
      <c r="AQ40" s="60" t="s">
        <v>189</v>
      </c>
      <c r="AV40" s="11">
        <f>AW40+AX40</f>
        <v>0</v>
      </c>
      <c r="AW40" s="11">
        <f>F40*AO40</f>
        <v>0</v>
      </c>
      <c r="AX40" s="11">
        <f>F40*AP40</f>
        <v>0</v>
      </c>
      <c r="AY40" s="60" t="s">
        <v>219</v>
      </c>
      <c r="AZ40" s="60" t="s">
        <v>206</v>
      </c>
      <c r="BA40" s="45" t="s">
        <v>165</v>
      </c>
      <c r="BC40" s="11">
        <f>AW40+AX40</f>
        <v>0</v>
      </c>
      <c r="BD40" s="11">
        <f>G40/(100-BE40)*100</f>
        <v>0</v>
      </c>
      <c r="BE40" s="11">
        <v>0</v>
      </c>
      <c r="BF40" s="11">
        <f>40</f>
        <v>40</v>
      </c>
      <c r="BH40" s="11">
        <f>F40*AO40</f>
        <v>0</v>
      </c>
      <c r="BI40" s="11">
        <f>F40*AP40</f>
        <v>0</v>
      </c>
      <c r="BJ40" s="11">
        <f>F40*G40</f>
        <v>0</v>
      </c>
      <c r="BK40" s="11"/>
      <c r="BL40" s="11">
        <v>725</v>
      </c>
      <c r="BW40" s="11">
        <v>12</v>
      </c>
      <c r="BX40" s="3" t="s">
        <v>227</v>
      </c>
    </row>
    <row r="41" spans="1:76" ht="14.5" x14ac:dyDescent="0.35">
      <c r="A41" s="1" t="s">
        <v>228</v>
      </c>
      <c r="B41" s="2" t="s">
        <v>229</v>
      </c>
      <c r="C41" s="81" t="s">
        <v>230</v>
      </c>
      <c r="D41" s="74"/>
      <c r="E41" s="2" t="s">
        <v>121</v>
      </c>
      <c r="F41" s="11">
        <v>43.3399</v>
      </c>
      <c r="G41" s="59">
        <v>0</v>
      </c>
      <c r="H41" s="11">
        <f>F41*G41</f>
        <v>0</v>
      </c>
      <c r="I41" s="11">
        <v>0</v>
      </c>
      <c r="J41" s="12">
        <v>0</v>
      </c>
      <c r="Z41" s="11">
        <f>IF(AQ41="5",BJ41,0)</f>
        <v>0</v>
      </c>
      <c r="AB41" s="11">
        <f>IF(AQ41="1",BH41,0)</f>
        <v>0</v>
      </c>
      <c r="AC41" s="11">
        <f>IF(AQ41="1",BI41,0)</f>
        <v>0</v>
      </c>
      <c r="AD41" s="11">
        <f>IF(AQ41="7",BH41,0)</f>
        <v>0</v>
      </c>
      <c r="AE41" s="11">
        <f>IF(AQ41="7",BI41,0)</f>
        <v>0</v>
      </c>
      <c r="AF41" s="11">
        <f>IF(AQ41="2",BH41,0)</f>
        <v>0</v>
      </c>
      <c r="AG41" s="11">
        <f>IF(AQ41="2",BI41,0)</f>
        <v>0</v>
      </c>
      <c r="AH41" s="11">
        <f>IF(AQ41="0",BJ41,0)</f>
        <v>0</v>
      </c>
      <c r="AI41" s="45" t="s">
        <v>21</v>
      </c>
      <c r="AJ41" s="11">
        <f>IF(AN41=0,H41,0)</f>
        <v>0</v>
      </c>
      <c r="AK41" s="11">
        <f>IF(AN41=12,H41,0)</f>
        <v>0</v>
      </c>
      <c r="AL41" s="11">
        <f>IF(AN41=21,H41,0)</f>
        <v>0</v>
      </c>
      <c r="AN41" s="11">
        <v>12</v>
      </c>
      <c r="AO41" s="11">
        <f>G41*0</f>
        <v>0</v>
      </c>
      <c r="AP41" s="11">
        <f>G41*(1-0)</f>
        <v>0</v>
      </c>
      <c r="AQ41" s="60" t="s">
        <v>180</v>
      </c>
      <c r="AV41" s="11">
        <f>AW41+AX41</f>
        <v>0</v>
      </c>
      <c r="AW41" s="11">
        <f>F41*AO41</f>
        <v>0</v>
      </c>
      <c r="AX41" s="11">
        <f>F41*AP41</f>
        <v>0</v>
      </c>
      <c r="AY41" s="60" t="s">
        <v>219</v>
      </c>
      <c r="AZ41" s="60" t="s">
        <v>206</v>
      </c>
      <c r="BA41" s="45" t="s">
        <v>165</v>
      </c>
      <c r="BC41" s="11">
        <f>AW41+AX41</f>
        <v>0</v>
      </c>
      <c r="BD41" s="11">
        <f>G41/(100-BE41)*100</f>
        <v>0</v>
      </c>
      <c r="BE41" s="11">
        <v>0</v>
      </c>
      <c r="BF41" s="11">
        <f>41</f>
        <v>41</v>
      </c>
      <c r="BH41" s="11">
        <f>F41*AO41</f>
        <v>0</v>
      </c>
      <c r="BI41" s="11">
        <f>F41*AP41</f>
        <v>0</v>
      </c>
      <c r="BJ41" s="11">
        <f>F41*G41</f>
        <v>0</v>
      </c>
      <c r="BK41" s="11"/>
      <c r="BL41" s="11">
        <v>725</v>
      </c>
      <c r="BW41" s="11">
        <v>12</v>
      </c>
      <c r="BX41" s="3" t="s">
        <v>230</v>
      </c>
    </row>
    <row r="42" spans="1:76" ht="14.5" x14ac:dyDescent="0.35">
      <c r="A42" s="61" t="s">
        <v>21</v>
      </c>
      <c r="B42" s="62" t="s">
        <v>34</v>
      </c>
      <c r="C42" s="163" t="s">
        <v>35</v>
      </c>
      <c r="D42" s="164"/>
      <c r="E42" s="63" t="s">
        <v>13</v>
      </c>
      <c r="F42" s="63" t="s">
        <v>13</v>
      </c>
      <c r="G42" s="64" t="s">
        <v>13</v>
      </c>
      <c r="H42" s="40">
        <f>SUM(H43:H47)</f>
        <v>0</v>
      </c>
      <c r="I42" s="45" t="s">
        <v>21</v>
      </c>
      <c r="J42" s="65" t="s">
        <v>21</v>
      </c>
      <c r="AI42" s="45" t="s">
        <v>21</v>
      </c>
      <c r="AS42" s="40">
        <f>SUM(AJ43:AJ47)</f>
        <v>0</v>
      </c>
      <c r="AT42" s="40">
        <f>SUM(AK43:AK47)</f>
        <v>0</v>
      </c>
      <c r="AU42" s="40">
        <f>SUM(AL43:AL47)</f>
        <v>0</v>
      </c>
    </row>
    <row r="43" spans="1:76" ht="14.5" x14ac:dyDescent="0.35">
      <c r="A43" s="1" t="s">
        <v>231</v>
      </c>
      <c r="B43" s="2" t="s">
        <v>232</v>
      </c>
      <c r="C43" s="81" t="s">
        <v>233</v>
      </c>
      <c r="D43" s="74"/>
      <c r="E43" s="2" t="s">
        <v>174</v>
      </c>
      <c r="F43" s="11">
        <v>10</v>
      </c>
      <c r="G43" s="59">
        <v>0</v>
      </c>
      <c r="H43" s="11">
        <f>F43*G43</f>
        <v>0</v>
      </c>
      <c r="I43" s="11">
        <v>5.9500000000000004E-3</v>
      </c>
      <c r="J43" s="12">
        <v>5.9500000000000004E-3</v>
      </c>
      <c r="Z43" s="11">
        <f>IF(AQ43="5",BJ43,0)</f>
        <v>0</v>
      </c>
      <c r="AB43" s="11">
        <f>IF(AQ43="1",BH43,0)</f>
        <v>0</v>
      </c>
      <c r="AC43" s="11">
        <f>IF(AQ43="1",BI43,0)</f>
        <v>0</v>
      </c>
      <c r="AD43" s="11">
        <f>IF(AQ43="7",BH43,0)</f>
        <v>0</v>
      </c>
      <c r="AE43" s="11">
        <f>IF(AQ43="7",BI43,0)</f>
        <v>0</v>
      </c>
      <c r="AF43" s="11">
        <f>IF(AQ43="2",BH43,0)</f>
        <v>0</v>
      </c>
      <c r="AG43" s="11">
        <f>IF(AQ43="2",BI43,0)</f>
        <v>0</v>
      </c>
      <c r="AH43" s="11">
        <f>IF(AQ43="0",BJ43,0)</f>
        <v>0</v>
      </c>
      <c r="AI43" s="45" t="s">
        <v>21</v>
      </c>
      <c r="AJ43" s="11">
        <f>IF(AN43=0,H43,0)</f>
        <v>0</v>
      </c>
      <c r="AK43" s="11">
        <f>IF(AN43=12,H43,0)</f>
        <v>0</v>
      </c>
      <c r="AL43" s="11">
        <f>IF(AN43=21,H43,0)</f>
        <v>0</v>
      </c>
      <c r="AN43" s="11">
        <v>12</v>
      </c>
      <c r="AO43" s="11">
        <f>G43*0.193770095</f>
        <v>0</v>
      </c>
      <c r="AP43" s="11">
        <f>G43*(1-0.193770095)</f>
        <v>0</v>
      </c>
      <c r="AQ43" s="60" t="s">
        <v>189</v>
      </c>
      <c r="AV43" s="11">
        <f>AW43+AX43</f>
        <v>0</v>
      </c>
      <c r="AW43" s="11">
        <f>F43*AO43</f>
        <v>0</v>
      </c>
      <c r="AX43" s="11">
        <f>F43*AP43</f>
        <v>0</v>
      </c>
      <c r="AY43" s="60" t="s">
        <v>234</v>
      </c>
      <c r="AZ43" s="60" t="s">
        <v>235</v>
      </c>
      <c r="BA43" s="45" t="s">
        <v>165</v>
      </c>
      <c r="BC43" s="11">
        <f>AW43+AX43</f>
        <v>0</v>
      </c>
      <c r="BD43" s="11">
        <f>G43/(100-BE43)*100</f>
        <v>0</v>
      </c>
      <c r="BE43" s="11">
        <v>0</v>
      </c>
      <c r="BF43" s="11">
        <f>43</f>
        <v>43</v>
      </c>
      <c r="BH43" s="11">
        <f>F43*AO43</f>
        <v>0</v>
      </c>
      <c r="BI43" s="11">
        <f>F43*AP43</f>
        <v>0</v>
      </c>
      <c r="BJ43" s="11">
        <f>F43*G43</f>
        <v>0</v>
      </c>
      <c r="BK43" s="11"/>
      <c r="BL43" s="11">
        <v>733</v>
      </c>
      <c r="BW43" s="11">
        <v>12</v>
      </c>
      <c r="BX43" s="3" t="s">
        <v>233</v>
      </c>
    </row>
    <row r="44" spans="1:76" ht="13.5" customHeight="1" x14ac:dyDescent="0.35">
      <c r="A44" s="66"/>
      <c r="B44" s="67" t="s">
        <v>175</v>
      </c>
      <c r="C44" s="165" t="s">
        <v>236</v>
      </c>
      <c r="D44" s="166"/>
      <c r="E44" s="166"/>
      <c r="F44" s="166"/>
      <c r="G44" s="167"/>
      <c r="H44" s="166"/>
      <c r="I44" s="166"/>
      <c r="J44" s="168"/>
    </row>
    <row r="45" spans="1:76" ht="14.5" x14ac:dyDescent="0.35">
      <c r="A45" s="1" t="s">
        <v>237</v>
      </c>
      <c r="B45" s="2" t="s">
        <v>238</v>
      </c>
      <c r="C45" s="81" t="s">
        <v>239</v>
      </c>
      <c r="D45" s="74"/>
      <c r="E45" s="2" t="s">
        <v>199</v>
      </c>
      <c r="F45" s="11">
        <v>4</v>
      </c>
      <c r="G45" s="59">
        <v>0</v>
      </c>
      <c r="H45" s="11">
        <f>F45*G45</f>
        <v>0</v>
      </c>
      <c r="I45" s="11">
        <v>6.0000000000000002E-5</v>
      </c>
      <c r="J45" s="12">
        <v>6.0000000000000002E-5</v>
      </c>
      <c r="Z45" s="11">
        <f>IF(AQ45="5",BJ45,0)</f>
        <v>0</v>
      </c>
      <c r="AB45" s="11">
        <f>IF(AQ45="1",BH45,0)</f>
        <v>0</v>
      </c>
      <c r="AC45" s="11">
        <f>IF(AQ45="1",BI45,0)</f>
        <v>0</v>
      </c>
      <c r="AD45" s="11">
        <f>IF(AQ45="7",BH45,0)</f>
        <v>0</v>
      </c>
      <c r="AE45" s="11">
        <f>IF(AQ45="7",BI45,0)</f>
        <v>0</v>
      </c>
      <c r="AF45" s="11">
        <f>IF(AQ45="2",BH45,0)</f>
        <v>0</v>
      </c>
      <c r="AG45" s="11">
        <f>IF(AQ45="2",BI45,0)</f>
        <v>0</v>
      </c>
      <c r="AH45" s="11">
        <f>IF(AQ45="0",BJ45,0)</f>
        <v>0</v>
      </c>
      <c r="AI45" s="45" t="s">
        <v>21</v>
      </c>
      <c r="AJ45" s="11">
        <f>IF(AN45=0,H45,0)</f>
        <v>0</v>
      </c>
      <c r="AK45" s="11">
        <f>IF(AN45=12,H45,0)</f>
        <v>0</v>
      </c>
      <c r="AL45" s="11">
        <f>IF(AN45=21,H45,0)</f>
        <v>0</v>
      </c>
      <c r="AN45" s="11">
        <v>12</v>
      </c>
      <c r="AO45" s="11">
        <f>G45*0.196711712</f>
        <v>0</v>
      </c>
      <c r="AP45" s="11">
        <f>G45*(1-0.196711712)</f>
        <v>0</v>
      </c>
      <c r="AQ45" s="60" t="s">
        <v>189</v>
      </c>
      <c r="AV45" s="11">
        <f>AW45+AX45</f>
        <v>0</v>
      </c>
      <c r="AW45" s="11">
        <f>F45*AO45</f>
        <v>0</v>
      </c>
      <c r="AX45" s="11">
        <f>F45*AP45</f>
        <v>0</v>
      </c>
      <c r="AY45" s="60" t="s">
        <v>234</v>
      </c>
      <c r="AZ45" s="60" t="s">
        <v>235</v>
      </c>
      <c r="BA45" s="45" t="s">
        <v>165</v>
      </c>
      <c r="BC45" s="11">
        <f>AW45+AX45</f>
        <v>0</v>
      </c>
      <c r="BD45" s="11">
        <f>G45/(100-BE45)*100</f>
        <v>0</v>
      </c>
      <c r="BE45" s="11">
        <v>0</v>
      </c>
      <c r="BF45" s="11">
        <f>45</f>
        <v>45</v>
      </c>
      <c r="BH45" s="11">
        <f>F45*AO45</f>
        <v>0</v>
      </c>
      <c r="BI45" s="11">
        <f>F45*AP45</f>
        <v>0</v>
      </c>
      <c r="BJ45" s="11">
        <f>F45*G45</f>
        <v>0</v>
      </c>
      <c r="BK45" s="11"/>
      <c r="BL45" s="11">
        <v>733</v>
      </c>
      <c r="BW45" s="11">
        <v>12</v>
      </c>
      <c r="BX45" s="3" t="s">
        <v>239</v>
      </c>
    </row>
    <row r="46" spans="1:76" ht="14.5" x14ac:dyDescent="0.35">
      <c r="A46" s="1" t="s">
        <v>240</v>
      </c>
      <c r="B46" s="2" t="s">
        <v>241</v>
      </c>
      <c r="C46" s="81" t="s">
        <v>242</v>
      </c>
      <c r="D46" s="74"/>
      <c r="E46" s="2" t="s">
        <v>174</v>
      </c>
      <c r="F46" s="11">
        <v>10</v>
      </c>
      <c r="G46" s="59">
        <v>0</v>
      </c>
      <c r="H46" s="11">
        <f>F46*G46</f>
        <v>0</v>
      </c>
      <c r="I46" s="11">
        <v>2.0000000000000002E-5</v>
      </c>
      <c r="J46" s="12">
        <v>3.2200000000000002E-3</v>
      </c>
      <c r="Z46" s="11">
        <f>IF(AQ46="5",BJ46,0)</f>
        <v>0</v>
      </c>
      <c r="AB46" s="11">
        <f>IF(AQ46="1",BH46,0)</f>
        <v>0</v>
      </c>
      <c r="AC46" s="11">
        <f>IF(AQ46="1",BI46,0)</f>
        <v>0</v>
      </c>
      <c r="AD46" s="11">
        <f>IF(AQ46="7",BH46,0)</f>
        <v>0</v>
      </c>
      <c r="AE46" s="11">
        <f>IF(AQ46="7",BI46,0)</f>
        <v>0</v>
      </c>
      <c r="AF46" s="11">
        <f>IF(AQ46="2",BH46,0)</f>
        <v>0</v>
      </c>
      <c r="AG46" s="11">
        <f>IF(AQ46="2",BI46,0)</f>
        <v>0</v>
      </c>
      <c r="AH46" s="11">
        <f>IF(AQ46="0",BJ46,0)</f>
        <v>0</v>
      </c>
      <c r="AI46" s="45" t="s">
        <v>21</v>
      </c>
      <c r="AJ46" s="11">
        <f>IF(AN46=0,H46,0)</f>
        <v>0</v>
      </c>
      <c r="AK46" s="11">
        <f>IF(AN46=12,H46,0)</f>
        <v>0</v>
      </c>
      <c r="AL46" s="11">
        <f>IF(AN46=21,H46,0)</f>
        <v>0</v>
      </c>
      <c r="AN46" s="11">
        <v>12</v>
      </c>
      <c r="AO46" s="11">
        <f>G46*0.196623377</f>
        <v>0</v>
      </c>
      <c r="AP46" s="11">
        <f>G46*(1-0.196623377)</f>
        <v>0</v>
      </c>
      <c r="AQ46" s="60" t="s">
        <v>189</v>
      </c>
      <c r="AV46" s="11">
        <f>AW46+AX46</f>
        <v>0</v>
      </c>
      <c r="AW46" s="11">
        <f>F46*AO46</f>
        <v>0</v>
      </c>
      <c r="AX46" s="11">
        <f>F46*AP46</f>
        <v>0</v>
      </c>
      <c r="AY46" s="60" t="s">
        <v>234</v>
      </c>
      <c r="AZ46" s="60" t="s">
        <v>235</v>
      </c>
      <c r="BA46" s="45" t="s">
        <v>165</v>
      </c>
      <c r="BC46" s="11">
        <f>AW46+AX46</f>
        <v>0</v>
      </c>
      <c r="BD46" s="11">
        <f>G46/(100-BE46)*100</f>
        <v>0</v>
      </c>
      <c r="BE46" s="11">
        <v>0</v>
      </c>
      <c r="BF46" s="11">
        <f>46</f>
        <v>46</v>
      </c>
      <c r="BH46" s="11">
        <f>F46*AO46</f>
        <v>0</v>
      </c>
      <c r="BI46" s="11">
        <f>F46*AP46</f>
        <v>0</v>
      </c>
      <c r="BJ46" s="11">
        <f>F46*G46</f>
        <v>0</v>
      </c>
      <c r="BK46" s="11"/>
      <c r="BL46" s="11">
        <v>733</v>
      </c>
      <c r="BW46" s="11">
        <v>12</v>
      </c>
      <c r="BX46" s="3" t="s">
        <v>242</v>
      </c>
    </row>
    <row r="47" spans="1:76" ht="14.5" x14ac:dyDescent="0.35">
      <c r="A47" s="1" t="s">
        <v>243</v>
      </c>
      <c r="B47" s="2" t="s">
        <v>244</v>
      </c>
      <c r="C47" s="81" t="s">
        <v>245</v>
      </c>
      <c r="D47" s="74"/>
      <c r="E47" s="2" t="s">
        <v>121</v>
      </c>
      <c r="F47" s="11">
        <v>46.631</v>
      </c>
      <c r="G47" s="59">
        <v>0</v>
      </c>
      <c r="H47" s="11">
        <f>F47*G47</f>
        <v>0</v>
      </c>
      <c r="I47" s="11">
        <v>0</v>
      </c>
      <c r="J47" s="12">
        <v>0</v>
      </c>
      <c r="Z47" s="11">
        <f>IF(AQ47="5",BJ47,0)</f>
        <v>0</v>
      </c>
      <c r="AB47" s="11">
        <f>IF(AQ47="1",BH47,0)</f>
        <v>0</v>
      </c>
      <c r="AC47" s="11">
        <f>IF(AQ47="1",BI47,0)</f>
        <v>0</v>
      </c>
      <c r="AD47" s="11">
        <f>IF(AQ47="7",BH47,0)</f>
        <v>0</v>
      </c>
      <c r="AE47" s="11">
        <f>IF(AQ47="7",BI47,0)</f>
        <v>0</v>
      </c>
      <c r="AF47" s="11">
        <f>IF(AQ47="2",BH47,0)</f>
        <v>0</v>
      </c>
      <c r="AG47" s="11">
        <f>IF(AQ47="2",BI47,0)</f>
        <v>0</v>
      </c>
      <c r="AH47" s="11">
        <f>IF(AQ47="0",BJ47,0)</f>
        <v>0</v>
      </c>
      <c r="AI47" s="45" t="s">
        <v>21</v>
      </c>
      <c r="AJ47" s="11">
        <f>IF(AN47=0,H47,0)</f>
        <v>0</v>
      </c>
      <c r="AK47" s="11">
        <f>IF(AN47=12,H47,0)</f>
        <v>0</v>
      </c>
      <c r="AL47" s="11">
        <f>IF(AN47=21,H47,0)</f>
        <v>0</v>
      </c>
      <c r="AN47" s="11">
        <v>12</v>
      </c>
      <c r="AO47" s="11">
        <f>G47*0</f>
        <v>0</v>
      </c>
      <c r="AP47" s="11">
        <f>G47*(1-0)</f>
        <v>0</v>
      </c>
      <c r="AQ47" s="60" t="s">
        <v>180</v>
      </c>
      <c r="AV47" s="11">
        <f>AW47+AX47</f>
        <v>0</v>
      </c>
      <c r="AW47" s="11">
        <f>F47*AO47</f>
        <v>0</v>
      </c>
      <c r="AX47" s="11">
        <f>F47*AP47</f>
        <v>0</v>
      </c>
      <c r="AY47" s="60" t="s">
        <v>234</v>
      </c>
      <c r="AZ47" s="60" t="s">
        <v>235</v>
      </c>
      <c r="BA47" s="45" t="s">
        <v>165</v>
      </c>
      <c r="BC47" s="11">
        <f>AW47+AX47</f>
        <v>0</v>
      </c>
      <c r="BD47" s="11">
        <f>G47/(100-BE47)*100</f>
        <v>0</v>
      </c>
      <c r="BE47" s="11">
        <v>0</v>
      </c>
      <c r="BF47" s="11">
        <f>47</f>
        <v>47</v>
      </c>
      <c r="BH47" s="11">
        <f>F47*AO47</f>
        <v>0</v>
      </c>
      <c r="BI47" s="11">
        <f>F47*AP47</f>
        <v>0</v>
      </c>
      <c r="BJ47" s="11">
        <f>F47*G47</f>
        <v>0</v>
      </c>
      <c r="BK47" s="11"/>
      <c r="BL47" s="11">
        <v>733</v>
      </c>
      <c r="BW47" s="11">
        <v>12</v>
      </c>
      <c r="BX47" s="3" t="s">
        <v>245</v>
      </c>
    </row>
    <row r="48" spans="1:76" ht="14.5" x14ac:dyDescent="0.35">
      <c r="A48" s="61" t="s">
        <v>21</v>
      </c>
      <c r="B48" s="62" t="s">
        <v>36</v>
      </c>
      <c r="C48" s="163" t="s">
        <v>37</v>
      </c>
      <c r="D48" s="164"/>
      <c r="E48" s="63" t="s">
        <v>13</v>
      </c>
      <c r="F48" s="63" t="s">
        <v>13</v>
      </c>
      <c r="G48" s="64" t="s">
        <v>13</v>
      </c>
      <c r="H48" s="40">
        <f>SUM(H49:H54)</f>
        <v>0</v>
      </c>
      <c r="I48" s="45" t="s">
        <v>21</v>
      </c>
      <c r="J48" s="65" t="s">
        <v>21</v>
      </c>
      <c r="AI48" s="45" t="s">
        <v>21</v>
      </c>
      <c r="AS48" s="40">
        <f>SUM(AJ49:AJ54)</f>
        <v>0</v>
      </c>
      <c r="AT48" s="40">
        <f>SUM(AK49:AK54)</f>
        <v>0</v>
      </c>
      <c r="AU48" s="40">
        <f>SUM(AL49:AL54)</f>
        <v>0</v>
      </c>
    </row>
    <row r="49" spans="1:76" ht="14.5" x14ac:dyDescent="0.35">
      <c r="A49" s="1" t="s">
        <v>246</v>
      </c>
      <c r="B49" s="2" t="s">
        <v>247</v>
      </c>
      <c r="C49" s="81" t="s">
        <v>248</v>
      </c>
      <c r="D49" s="74"/>
      <c r="E49" s="2" t="s">
        <v>199</v>
      </c>
      <c r="F49" s="11">
        <v>2</v>
      </c>
      <c r="G49" s="59">
        <v>0</v>
      </c>
      <c r="H49" s="11">
        <f>F49*G49</f>
        <v>0</v>
      </c>
      <c r="I49" s="11">
        <v>8.0000000000000007E-5</v>
      </c>
      <c r="J49" s="12">
        <v>4.6829999999999997E-2</v>
      </c>
      <c r="Z49" s="11">
        <f>IF(AQ49="5",BJ49,0)</f>
        <v>0</v>
      </c>
      <c r="AB49" s="11">
        <f>IF(AQ49="1",BH49,0)</f>
        <v>0</v>
      </c>
      <c r="AC49" s="11">
        <f>IF(AQ49="1",BI49,0)</f>
        <v>0</v>
      </c>
      <c r="AD49" s="11">
        <f>IF(AQ49="7",BH49,0)</f>
        <v>0</v>
      </c>
      <c r="AE49" s="11">
        <f>IF(AQ49="7",BI49,0)</f>
        <v>0</v>
      </c>
      <c r="AF49" s="11">
        <f>IF(AQ49="2",BH49,0)</f>
        <v>0</v>
      </c>
      <c r="AG49" s="11">
        <f>IF(AQ49="2",BI49,0)</f>
        <v>0</v>
      </c>
      <c r="AH49" s="11">
        <f>IF(AQ49="0",BJ49,0)</f>
        <v>0</v>
      </c>
      <c r="AI49" s="45" t="s">
        <v>21</v>
      </c>
      <c r="AJ49" s="11">
        <f>IF(AN49=0,H49,0)</f>
        <v>0</v>
      </c>
      <c r="AK49" s="11">
        <f>IF(AN49=12,H49,0)</f>
        <v>0</v>
      </c>
      <c r="AL49" s="11">
        <f>IF(AN49=21,H49,0)</f>
        <v>0</v>
      </c>
      <c r="AN49" s="11">
        <v>12</v>
      </c>
      <c r="AO49" s="11">
        <f>G49*0.120800033</f>
        <v>0</v>
      </c>
      <c r="AP49" s="11">
        <f>G49*(1-0.120800033)</f>
        <v>0</v>
      </c>
      <c r="AQ49" s="60" t="s">
        <v>189</v>
      </c>
      <c r="AV49" s="11">
        <f>AW49+AX49</f>
        <v>0</v>
      </c>
      <c r="AW49" s="11">
        <f>F49*AO49</f>
        <v>0</v>
      </c>
      <c r="AX49" s="11">
        <f>F49*AP49</f>
        <v>0</v>
      </c>
      <c r="AY49" s="60" t="s">
        <v>249</v>
      </c>
      <c r="AZ49" s="60" t="s">
        <v>235</v>
      </c>
      <c r="BA49" s="45" t="s">
        <v>165</v>
      </c>
      <c r="BC49" s="11">
        <f>AW49+AX49</f>
        <v>0</v>
      </c>
      <c r="BD49" s="11">
        <f>G49/(100-BE49)*100</f>
        <v>0</v>
      </c>
      <c r="BE49" s="11">
        <v>0</v>
      </c>
      <c r="BF49" s="11">
        <f>49</f>
        <v>49</v>
      </c>
      <c r="BH49" s="11">
        <f>F49*AO49</f>
        <v>0</v>
      </c>
      <c r="BI49" s="11">
        <f>F49*AP49</f>
        <v>0</v>
      </c>
      <c r="BJ49" s="11">
        <f>F49*G49</f>
        <v>0</v>
      </c>
      <c r="BK49" s="11"/>
      <c r="BL49" s="11">
        <v>735</v>
      </c>
      <c r="BW49" s="11">
        <v>12</v>
      </c>
      <c r="BX49" s="3" t="s">
        <v>248</v>
      </c>
    </row>
    <row r="50" spans="1:76" ht="14.5" x14ac:dyDescent="0.35">
      <c r="A50" s="1" t="s">
        <v>250</v>
      </c>
      <c r="B50" s="2" t="s">
        <v>251</v>
      </c>
      <c r="C50" s="81" t="s">
        <v>252</v>
      </c>
      <c r="D50" s="74"/>
      <c r="E50" s="2" t="s">
        <v>199</v>
      </c>
      <c r="F50" s="11">
        <v>2</v>
      </c>
      <c r="G50" s="59">
        <v>0</v>
      </c>
      <c r="H50" s="11">
        <f>F50*G50</f>
        <v>0</v>
      </c>
      <c r="I50" s="11">
        <v>0</v>
      </c>
      <c r="J50" s="12">
        <v>0</v>
      </c>
      <c r="Z50" s="11">
        <f>IF(AQ50="5",BJ50,0)</f>
        <v>0</v>
      </c>
      <c r="AB50" s="11">
        <f>IF(AQ50="1",BH50,0)</f>
        <v>0</v>
      </c>
      <c r="AC50" s="11">
        <f>IF(AQ50="1",BI50,0)</f>
        <v>0</v>
      </c>
      <c r="AD50" s="11">
        <f>IF(AQ50="7",BH50,0)</f>
        <v>0</v>
      </c>
      <c r="AE50" s="11">
        <f>IF(AQ50="7",BI50,0)</f>
        <v>0</v>
      </c>
      <c r="AF50" s="11">
        <f>IF(AQ50="2",BH50,0)</f>
        <v>0</v>
      </c>
      <c r="AG50" s="11">
        <f>IF(AQ50="2",BI50,0)</f>
        <v>0</v>
      </c>
      <c r="AH50" s="11">
        <f>IF(AQ50="0",BJ50,0)</f>
        <v>0</v>
      </c>
      <c r="AI50" s="45" t="s">
        <v>21</v>
      </c>
      <c r="AJ50" s="11">
        <f>IF(AN50=0,H50,0)</f>
        <v>0</v>
      </c>
      <c r="AK50" s="11">
        <f>IF(AN50=12,H50,0)</f>
        <v>0</v>
      </c>
      <c r="AL50" s="11">
        <f>IF(AN50=21,H50,0)</f>
        <v>0</v>
      </c>
      <c r="AN50" s="11">
        <v>12</v>
      </c>
      <c r="AO50" s="11">
        <f>G50*0</f>
        <v>0</v>
      </c>
      <c r="AP50" s="11">
        <f>G50*(1-0)</f>
        <v>0</v>
      </c>
      <c r="AQ50" s="60" t="s">
        <v>189</v>
      </c>
      <c r="AV50" s="11">
        <f>AW50+AX50</f>
        <v>0</v>
      </c>
      <c r="AW50" s="11">
        <f>F50*AO50</f>
        <v>0</v>
      </c>
      <c r="AX50" s="11">
        <f>F50*AP50</f>
        <v>0</v>
      </c>
      <c r="AY50" s="60" t="s">
        <v>249</v>
      </c>
      <c r="AZ50" s="60" t="s">
        <v>235</v>
      </c>
      <c r="BA50" s="45" t="s">
        <v>165</v>
      </c>
      <c r="BC50" s="11">
        <f>AW50+AX50</f>
        <v>0</v>
      </c>
      <c r="BD50" s="11">
        <f>G50/(100-BE50)*100</f>
        <v>0</v>
      </c>
      <c r="BE50" s="11">
        <v>0</v>
      </c>
      <c r="BF50" s="11">
        <f>50</f>
        <v>50</v>
      </c>
      <c r="BH50" s="11">
        <f>F50*AO50</f>
        <v>0</v>
      </c>
      <c r="BI50" s="11">
        <f>F50*AP50</f>
        <v>0</v>
      </c>
      <c r="BJ50" s="11">
        <f>F50*G50</f>
        <v>0</v>
      </c>
      <c r="BK50" s="11"/>
      <c r="BL50" s="11">
        <v>735</v>
      </c>
      <c r="BW50" s="11">
        <v>12</v>
      </c>
      <c r="BX50" s="3" t="s">
        <v>252</v>
      </c>
    </row>
    <row r="51" spans="1:76" ht="14.5" x14ac:dyDescent="0.35">
      <c r="A51" s="1" t="s">
        <v>253</v>
      </c>
      <c r="B51" s="2" t="s">
        <v>254</v>
      </c>
      <c r="C51" s="81" t="s">
        <v>255</v>
      </c>
      <c r="D51" s="74"/>
      <c r="E51" s="2" t="s">
        <v>256</v>
      </c>
      <c r="F51" s="11">
        <v>20</v>
      </c>
      <c r="G51" s="59">
        <v>0</v>
      </c>
      <c r="H51" s="11">
        <f>F51*G51</f>
        <v>0</v>
      </c>
      <c r="I51" s="11">
        <v>0</v>
      </c>
      <c r="J51" s="12">
        <v>0</v>
      </c>
      <c r="Z51" s="11">
        <f>IF(AQ51="5",BJ51,0)</f>
        <v>0</v>
      </c>
      <c r="AB51" s="11">
        <f>IF(AQ51="1",BH51,0)</f>
        <v>0</v>
      </c>
      <c r="AC51" s="11">
        <f>IF(AQ51="1",BI51,0)</f>
        <v>0</v>
      </c>
      <c r="AD51" s="11">
        <f>IF(AQ51="7",BH51,0)</f>
        <v>0</v>
      </c>
      <c r="AE51" s="11">
        <f>IF(AQ51="7",BI51,0)</f>
        <v>0</v>
      </c>
      <c r="AF51" s="11">
        <f>IF(AQ51="2",BH51,0)</f>
        <v>0</v>
      </c>
      <c r="AG51" s="11">
        <f>IF(AQ51="2",BI51,0)</f>
        <v>0</v>
      </c>
      <c r="AH51" s="11">
        <f>IF(AQ51="0",BJ51,0)</f>
        <v>0</v>
      </c>
      <c r="AI51" s="45" t="s">
        <v>21</v>
      </c>
      <c r="AJ51" s="11">
        <f>IF(AN51=0,H51,0)</f>
        <v>0</v>
      </c>
      <c r="AK51" s="11">
        <f>IF(AN51=12,H51,0)</f>
        <v>0</v>
      </c>
      <c r="AL51" s="11">
        <f>IF(AN51=21,H51,0)</f>
        <v>0</v>
      </c>
      <c r="AN51" s="11">
        <v>12</v>
      </c>
      <c r="AO51" s="11">
        <f>G51*0</f>
        <v>0</v>
      </c>
      <c r="AP51" s="11">
        <f>G51*(1-0)</f>
        <v>0</v>
      </c>
      <c r="AQ51" s="60" t="s">
        <v>189</v>
      </c>
      <c r="AV51" s="11">
        <f>AW51+AX51</f>
        <v>0</v>
      </c>
      <c r="AW51" s="11">
        <f>F51*AO51</f>
        <v>0</v>
      </c>
      <c r="AX51" s="11">
        <f>F51*AP51</f>
        <v>0</v>
      </c>
      <c r="AY51" s="60" t="s">
        <v>249</v>
      </c>
      <c r="AZ51" s="60" t="s">
        <v>235</v>
      </c>
      <c r="BA51" s="45" t="s">
        <v>165</v>
      </c>
      <c r="BC51" s="11">
        <f>AW51+AX51</f>
        <v>0</v>
      </c>
      <c r="BD51" s="11">
        <f>G51/(100-BE51)*100</f>
        <v>0</v>
      </c>
      <c r="BE51" s="11">
        <v>0</v>
      </c>
      <c r="BF51" s="11">
        <f>51</f>
        <v>51</v>
      </c>
      <c r="BH51" s="11">
        <f>F51*AO51</f>
        <v>0</v>
      </c>
      <c r="BI51" s="11">
        <f>F51*AP51</f>
        <v>0</v>
      </c>
      <c r="BJ51" s="11">
        <f>F51*G51</f>
        <v>0</v>
      </c>
      <c r="BK51" s="11"/>
      <c r="BL51" s="11">
        <v>735</v>
      </c>
      <c r="BW51" s="11">
        <v>12</v>
      </c>
      <c r="BX51" s="3" t="s">
        <v>255</v>
      </c>
    </row>
    <row r="52" spans="1:76" ht="13.5" customHeight="1" x14ac:dyDescent="0.35">
      <c r="A52" s="66"/>
      <c r="B52" s="67" t="s">
        <v>175</v>
      </c>
      <c r="C52" s="165" t="s">
        <v>257</v>
      </c>
      <c r="D52" s="166"/>
      <c r="E52" s="166"/>
      <c r="F52" s="166"/>
      <c r="G52" s="167"/>
      <c r="H52" s="166"/>
      <c r="I52" s="166"/>
      <c r="J52" s="168"/>
    </row>
    <row r="53" spans="1:76" ht="14.5" x14ac:dyDescent="0.35">
      <c r="A53" s="1" t="s">
        <v>258</v>
      </c>
      <c r="B53" s="2" t="s">
        <v>259</v>
      </c>
      <c r="C53" s="81" t="s">
        <v>260</v>
      </c>
      <c r="D53" s="74"/>
      <c r="E53" s="2" t="s">
        <v>199</v>
      </c>
      <c r="F53" s="11">
        <v>2</v>
      </c>
      <c r="G53" s="59">
        <v>0</v>
      </c>
      <c r="H53" s="11">
        <f>F53*G53</f>
        <v>0</v>
      </c>
      <c r="I53" s="11">
        <v>0.10304000000000001</v>
      </c>
      <c r="J53" s="12">
        <v>0.10304000000000001</v>
      </c>
      <c r="Z53" s="11">
        <f>IF(AQ53="5",BJ53,0)</f>
        <v>0</v>
      </c>
      <c r="AB53" s="11">
        <f>IF(AQ53="1",BH53,0)</f>
        <v>0</v>
      </c>
      <c r="AC53" s="11">
        <f>IF(AQ53="1",BI53,0)</f>
        <v>0</v>
      </c>
      <c r="AD53" s="11">
        <f>IF(AQ53="7",BH53,0)</f>
        <v>0</v>
      </c>
      <c r="AE53" s="11">
        <f>IF(AQ53="7",BI53,0)</f>
        <v>0</v>
      </c>
      <c r="AF53" s="11">
        <f>IF(AQ53="2",BH53,0)</f>
        <v>0</v>
      </c>
      <c r="AG53" s="11">
        <f>IF(AQ53="2",BI53,0)</f>
        <v>0</v>
      </c>
      <c r="AH53" s="11">
        <f>IF(AQ53="0",BJ53,0)</f>
        <v>0</v>
      </c>
      <c r="AI53" s="45" t="s">
        <v>21</v>
      </c>
      <c r="AJ53" s="11">
        <f>IF(AN53=0,H53,0)</f>
        <v>0</v>
      </c>
      <c r="AK53" s="11">
        <f>IF(AN53=12,H53,0)</f>
        <v>0</v>
      </c>
      <c r="AL53" s="11">
        <f>IF(AN53=21,H53,0)</f>
        <v>0</v>
      </c>
      <c r="AN53" s="11">
        <v>12</v>
      </c>
      <c r="AO53" s="11">
        <f>G53*1</f>
        <v>0</v>
      </c>
      <c r="AP53" s="11">
        <f>G53*(1-1)</f>
        <v>0</v>
      </c>
      <c r="AQ53" s="60" t="s">
        <v>189</v>
      </c>
      <c r="AV53" s="11">
        <f>AW53+AX53</f>
        <v>0</v>
      </c>
      <c r="AW53" s="11">
        <f>F53*AO53</f>
        <v>0</v>
      </c>
      <c r="AX53" s="11">
        <f>F53*AP53</f>
        <v>0</v>
      </c>
      <c r="AY53" s="60" t="s">
        <v>249</v>
      </c>
      <c r="AZ53" s="60" t="s">
        <v>235</v>
      </c>
      <c r="BA53" s="45" t="s">
        <v>165</v>
      </c>
      <c r="BC53" s="11">
        <f>AW53+AX53</f>
        <v>0</v>
      </c>
      <c r="BD53" s="11">
        <f>G53/(100-BE53)*100</f>
        <v>0</v>
      </c>
      <c r="BE53" s="11">
        <v>0</v>
      </c>
      <c r="BF53" s="11">
        <f>53</f>
        <v>53</v>
      </c>
      <c r="BH53" s="11">
        <f>F53*AO53</f>
        <v>0</v>
      </c>
      <c r="BI53" s="11">
        <f>F53*AP53</f>
        <v>0</v>
      </c>
      <c r="BJ53" s="11">
        <f>F53*G53</f>
        <v>0</v>
      </c>
      <c r="BK53" s="11"/>
      <c r="BL53" s="11">
        <v>735</v>
      </c>
      <c r="BW53" s="11">
        <v>12</v>
      </c>
      <c r="BX53" s="3" t="s">
        <v>260</v>
      </c>
    </row>
    <row r="54" spans="1:76" ht="14.5" x14ac:dyDescent="0.35">
      <c r="A54" s="1" t="s">
        <v>261</v>
      </c>
      <c r="B54" s="2" t="s">
        <v>262</v>
      </c>
      <c r="C54" s="81" t="s">
        <v>263</v>
      </c>
      <c r="D54" s="74"/>
      <c r="E54" s="2" t="s">
        <v>121</v>
      </c>
      <c r="F54" s="11">
        <v>429.77980000000002</v>
      </c>
      <c r="G54" s="59">
        <v>0</v>
      </c>
      <c r="H54" s="11">
        <f>F54*G54</f>
        <v>0</v>
      </c>
      <c r="I54" s="11">
        <v>0</v>
      </c>
      <c r="J54" s="12">
        <v>0</v>
      </c>
      <c r="Z54" s="11">
        <f>IF(AQ54="5",BJ54,0)</f>
        <v>0</v>
      </c>
      <c r="AB54" s="11">
        <f>IF(AQ54="1",BH54,0)</f>
        <v>0</v>
      </c>
      <c r="AC54" s="11">
        <f>IF(AQ54="1",BI54,0)</f>
        <v>0</v>
      </c>
      <c r="AD54" s="11">
        <f>IF(AQ54="7",BH54,0)</f>
        <v>0</v>
      </c>
      <c r="AE54" s="11">
        <f>IF(AQ54="7",BI54,0)</f>
        <v>0</v>
      </c>
      <c r="AF54" s="11">
        <f>IF(AQ54="2",BH54,0)</f>
        <v>0</v>
      </c>
      <c r="AG54" s="11">
        <f>IF(AQ54="2",BI54,0)</f>
        <v>0</v>
      </c>
      <c r="AH54" s="11">
        <f>IF(AQ54="0",BJ54,0)</f>
        <v>0</v>
      </c>
      <c r="AI54" s="45" t="s">
        <v>21</v>
      </c>
      <c r="AJ54" s="11">
        <f>IF(AN54=0,H54,0)</f>
        <v>0</v>
      </c>
      <c r="AK54" s="11">
        <f>IF(AN54=12,H54,0)</f>
        <v>0</v>
      </c>
      <c r="AL54" s="11">
        <f>IF(AN54=21,H54,0)</f>
        <v>0</v>
      </c>
      <c r="AN54" s="11">
        <v>12</v>
      </c>
      <c r="AO54" s="11">
        <f>G54*0</f>
        <v>0</v>
      </c>
      <c r="AP54" s="11">
        <f>G54*(1-0)</f>
        <v>0</v>
      </c>
      <c r="AQ54" s="60" t="s">
        <v>180</v>
      </c>
      <c r="AV54" s="11">
        <f>AW54+AX54</f>
        <v>0</v>
      </c>
      <c r="AW54" s="11">
        <f>F54*AO54</f>
        <v>0</v>
      </c>
      <c r="AX54" s="11">
        <f>F54*AP54</f>
        <v>0</v>
      </c>
      <c r="AY54" s="60" t="s">
        <v>249</v>
      </c>
      <c r="AZ54" s="60" t="s">
        <v>235</v>
      </c>
      <c r="BA54" s="45" t="s">
        <v>165</v>
      </c>
      <c r="BC54" s="11">
        <f>AW54+AX54</f>
        <v>0</v>
      </c>
      <c r="BD54" s="11">
        <f>G54/(100-BE54)*100</f>
        <v>0</v>
      </c>
      <c r="BE54" s="11">
        <v>0</v>
      </c>
      <c r="BF54" s="11">
        <f>54</f>
        <v>54</v>
      </c>
      <c r="BH54" s="11">
        <f>F54*AO54</f>
        <v>0</v>
      </c>
      <c r="BI54" s="11">
        <f>F54*AP54</f>
        <v>0</v>
      </c>
      <c r="BJ54" s="11">
        <f>F54*G54</f>
        <v>0</v>
      </c>
      <c r="BK54" s="11"/>
      <c r="BL54" s="11">
        <v>735</v>
      </c>
      <c r="BW54" s="11">
        <v>12</v>
      </c>
      <c r="BX54" s="3" t="s">
        <v>263</v>
      </c>
    </row>
    <row r="55" spans="1:76" ht="14.5" x14ac:dyDescent="0.35">
      <c r="A55" s="61" t="s">
        <v>21</v>
      </c>
      <c r="B55" s="62" t="s">
        <v>38</v>
      </c>
      <c r="C55" s="163" t="s">
        <v>39</v>
      </c>
      <c r="D55" s="164"/>
      <c r="E55" s="63" t="s">
        <v>13</v>
      </c>
      <c r="F55" s="63" t="s">
        <v>13</v>
      </c>
      <c r="G55" s="64" t="s">
        <v>13</v>
      </c>
      <c r="H55" s="40">
        <f>SUM(H56:H56)</f>
        <v>0</v>
      </c>
      <c r="I55" s="45" t="s">
        <v>21</v>
      </c>
      <c r="J55" s="65" t="s">
        <v>21</v>
      </c>
      <c r="AI55" s="45" t="s">
        <v>21</v>
      </c>
      <c r="AS55" s="40">
        <f>SUM(AJ56:AJ56)</f>
        <v>0</v>
      </c>
      <c r="AT55" s="40">
        <f>SUM(AK56:AK56)</f>
        <v>0</v>
      </c>
      <c r="AU55" s="40">
        <f>SUM(AL56:AL56)</f>
        <v>0</v>
      </c>
    </row>
    <row r="56" spans="1:76" ht="14.5" x14ac:dyDescent="0.35">
      <c r="A56" s="1" t="s">
        <v>264</v>
      </c>
      <c r="B56" s="2" t="s">
        <v>265</v>
      </c>
      <c r="C56" s="81" t="s">
        <v>266</v>
      </c>
      <c r="D56" s="74"/>
      <c r="E56" s="2" t="s">
        <v>174</v>
      </c>
      <c r="F56" s="11">
        <v>4</v>
      </c>
      <c r="G56" s="59">
        <v>0</v>
      </c>
      <c r="H56" s="11">
        <f>F56*G56</f>
        <v>0</v>
      </c>
      <c r="I56" s="11">
        <v>4.4200000000000003E-3</v>
      </c>
      <c r="J56" s="12">
        <v>4.4200000000000003E-3</v>
      </c>
      <c r="Z56" s="11">
        <f>IF(AQ56="5",BJ56,0)</f>
        <v>0</v>
      </c>
      <c r="AB56" s="11">
        <f>IF(AQ56="1",BH56,0)</f>
        <v>0</v>
      </c>
      <c r="AC56" s="11">
        <f>IF(AQ56="1",BI56,0)</f>
        <v>0</v>
      </c>
      <c r="AD56" s="11">
        <f>IF(AQ56="7",BH56,0)</f>
        <v>0</v>
      </c>
      <c r="AE56" s="11">
        <f>IF(AQ56="7",BI56,0)</f>
        <v>0</v>
      </c>
      <c r="AF56" s="11">
        <f>IF(AQ56="2",BH56,0)</f>
        <v>0</v>
      </c>
      <c r="AG56" s="11">
        <f>IF(AQ56="2",BI56,0)</f>
        <v>0</v>
      </c>
      <c r="AH56" s="11">
        <f>IF(AQ56="0",BJ56,0)</f>
        <v>0</v>
      </c>
      <c r="AI56" s="45" t="s">
        <v>21</v>
      </c>
      <c r="AJ56" s="11">
        <f>IF(AN56=0,H56,0)</f>
        <v>0</v>
      </c>
      <c r="AK56" s="11">
        <f>IF(AN56=12,H56,0)</f>
        <v>0</v>
      </c>
      <c r="AL56" s="11">
        <f>IF(AN56=21,H56,0)</f>
        <v>0</v>
      </c>
      <c r="AN56" s="11">
        <v>12</v>
      </c>
      <c r="AO56" s="11">
        <f>G56*0.393434514</f>
        <v>0</v>
      </c>
      <c r="AP56" s="11">
        <f>G56*(1-0.393434514)</f>
        <v>0</v>
      </c>
      <c r="AQ56" s="60" t="s">
        <v>189</v>
      </c>
      <c r="AV56" s="11">
        <f>AW56+AX56</f>
        <v>0</v>
      </c>
      <c r="AW56" s="11">
        <f>F56*AO56</f>
        <v>0</v>
      </c>
      <c r="AX56" s="11">
        <f>F56*AP56</f>
        <v>0</v>
      </c>
      <c r="AY56" s="60" t="s">
        <v>267</v>
      </c>
      <c r="AZ56" s="60" t="s">
        <v>268</v>
      </c>
      <c r="BA56" s="45" t="s">
        <v>165</v>
      </c>
      <c r="BC56" s="11">
        <f>AW56+AX56</f>
        <v>0</v>
      </c>
      <c r="BD56" s="11">
        <f>G56/(100-BE56)*100</f>
        <v>0</v>
      </c>
      <c r="BE56" s="11">
        <v>0</v>
      </c>
      <c r="BF56" s="11">
        <f>56</f>
        <v>56</v>
      </c>
      <c r="BH56" s="11">
        <f>F56*AO56</f>
        <v>0</v>
      </c>
      <c r="BI56" s="11">
        <f>F56*AP56</f>
        <v>0</v>
      </c>
      <c r="BJ56" s="11">
        <f>F56*G56</f>
        <v>0</v>
      </c>
      <c r="BK56" s="11"/>
      <c r="BL56" s="11">
        <v>764</v>
      </c>
      <c r="BW56" s="11">
        <v>12</v>
      </c>
      <c r="BX56" s="3" t="s">
        <v>266</v>
      </c>
    </row>
    <row r="57" spans="1:76" ht="13.5" customHeight="1" x14ac:dyDescent="0.35">
      <c r="A57" s="66"/>
      <c r="B57" s="67" t="s">
        <v>175</v>
      </c>
      <c r="C57" s="165" t="s">
        <v>269</v>
      </c>
      <c r="D57" s="166"/>
      <c r="E57" s="166"/>
      <c r="F57" s="166"/>
      <c r="G57" s="167"/>
      <c r="H57" s="166"/>
      <c r="I57" s="166"/>
      <c r="J57" s="168"/>
    </row>
    <row r="58" spans="1:76" ht="14.5" x14ac:dyDescent="0.35">
      <c r="A58" s="61" t="s">
        <v>21</v>
      </c>
      <c r="B58" s="62" t="s">
        <v>40</v>
      </c>
      <c r="C58" s="163" t="s">
        <v>41</v>
      </c>
      <c r="D58" s="164"/>
      <c r="E58" s="63" t="s">
        <v>13</v>
      </c>
      <c r="F58" s="63" t="s">
        <v>13</v>
      </c>
      <c r="G58" s="64" t="s">
        <v>13</v>
      </c>
      <c r="H58" s="40">
        <f>SUM(H59:H70)</f>
        <v>0</v>
      </c>
      <c r="I58" s="45" t="s">
        <v>21</v>
      </c>
      <c r="J58" s="65" t="s">
        <v>21</v>
      </c>
      <c r="AI58" s="45" t="s">
        <v>21</v>
      </c>
      <c r="AS58" s="40">
        <f>SUM(AJ59:AJ70)</f>
        <v>0</v>
      </c>
      <c r="AT58" s="40">
        <f>SUM(AK59:AK70)</f>
        <v>0</v>
      </c>
      <c r="AU58" s="40">
        <f>SUM(AL59:AL70)</f>
        <v>0</v>
      </c>
    </row>
    <row r="59" spans="1:76" ht="14.5" x14ac:dyDescent="0.35">
      <c r="A59" s="1" t="s">
        <v>270</v>
      </c>
      <c r="B59" s="2" t="s">
        <v>271</v>
      </c>
      <c r="C59" s="81" t="s">
        <v>272</v>
      </c>
      <c r="D59" s="74"/>
      <c r="E59" s="2" t="s">
        <v>199</v>
      </c>
      <c r="F59" s="11">
        <v>3</v>
      </c>
      <c r="G59" s="59">
        <v>0</v>
      </c>
      <c r="H59" s="11">
        <f t="shared" ref="H59:H70" si="0">F59*G59</f>
        <v>0</v>
      </c>
      <c r="I59" s="11">
        <v>4.8999999999999998E-4</v>
      </c>
      <c r="J59" s="12">
        <v>4.8999999999999998E-4</v>
      </c>
      <c r="Z59" s="11">
        <f t="shared" ref="Z59:Z70" si="1">IF(AQ59="5",BJ59,0)</f>
        <v>0</v>
      </c>
      <c r="AB59" s="11">
        <f t="shared" ref="AB59:AB70" si="2">IF(AQ59="1",BH59,0)</f>
        <v>0</v>
      </c>
      <c r="AC59" s="11">
        <f t="shared" ref="AC59:AC70" si="3">IF(AQ59="1",BI59,0)</f>
        <v>0</v>
      </c>
      <c r="AD59" s="11">
        <f t="shared" ref="AD59:AD70" si="4">IF(AQ59="7",BH59,0)</f>
        <v>0</v>
      </c>
      <c r="AE59" s="11">
        <f t="shared" ref="AE59:AE70" si="5">IF(AQ59="7",BI59,0)</f>
        <v>0</v>
      </c>
      <c r="AF59" s="11">
        <f t="shared" ref="AF59:AF70" si="6">IF(AQ59="2",BH59,0)</f>
        <v>0</v>
      </c>
      <c r="AG59" s="11">
        <f t="shared" ref="AG59:AG70" si="7">IF(AQ59="2",BI59,0)</f>
        <v>0</v>
      </c>
      <c r="AH59" s="11">
        <f t="shared" ref="AH59:AH70" si="8">IF(AQ59="0",BJ59,0)</f>
        <v>0</v>
      </c>
      <c r="AI59" s="45" t="s">
        <v>21</v>
      </c>
      <c r="AJ59" s="11">
        <f t="shared" ref="AJ59:AJ70" si="9">IF(AN59=0,H59,0)</f>
        <v>0</v>
      </c>
      <c r="AK59" s="11">
        <f t="shared" ref="AK59:AK70" si="10">IF(AN59=12,H59,0)</f>
        <v>0</v>
      </c>
      <c r="AL59" s="11">
        <f t="shared" ref="AL59:AL70" si="11">IF(AN59=21,H59,0)</f>
        <v>0</v>
      </c>
      <c r="AN59" s="11">
        <v>12</v>
      </c>
      <c r="AO59" s="11">
        <f>G59*0.069241002</f>
        <v>0</v>
      </c>
      <c r="AP59" s="11">
        <f>G59*(1-0.069241002)</f>
        <v>0</v>
      </c>
      <c r="AQ59" s="60" t="s">
        <v>189</v>
      </c>
      <c r="AV59" s="11">
        <f t="shared" ref="AV59:AV70" si="12">AW59+AX59</f>
        <v>0</v>
      </c>
      <c r="AW59" s="11">
        <f t="shared" ref="AW59:AW70" si="13">F59*AO59</f>
        <v>0</v>
      </c>
      <c r="AX59" s="11">
        <f t="shared" ref="AX59:AX70" si="14">F59*AP59</f>
        <v>0</v>
      </c>
      <c r="AY59" s="60" t="s">
        <v>273</v>
      </c>
      <c r="AZ59" s="60" t="s">
        <v>268</v>
      </c>
      <c r="BA59" s="45" t="s">
        <v>165</v>
      </c>
      <c r="BC59" s="11">
        <f t="shared" ref="BC59:BC70" si="15">AW59+AX59</f>
        <v>0</v>
      </c>
      <c r="BD59" s="11">
        <f t="shared" ref="BD59:BD70" si="16">G59/(100-BE59)*100</f>
        <v>0</v>
      </c>
      <c r="BE59" s="11">
        <v>0</v>
      </c>
      <c r="BF59" s="11">
        <f>59</f>
        <v>59</v>
      </c>
      <c r="BH59" s="11">
        <f t="shared" ref="BH59:BH70" si="17">F59*AO59</f>
        <v>0</v>
      </c>
      <c r="BI59" s="11">
        <f t="shared" ref="BI59:BI70" si="18">F59*AP59</f>
        <v>0</v>
      </c>
      <c r="BJ59" s="11">
        <f t="shared" ref="BJ59:BJ70" si="19">F59*G59</f>
        <v>0</v>
      </c>
      <c r="BK59" s="11"/>
      <c r="BL59" s="11">
        <v>766</v>
      </c>
      <c r="BW59" s="11">
        <v>12</v>
      </c>
      <c r="BX59" s="3" t="s">
        <v>272</v>
      </c>
    </row>
    <row r="60" spans="1:76" ht="14.5" x14ac:dyDescent="0.35">
      <c r="A60" s="1" t="s">
        <v>274</v>
      </c>
      <c r="B60" s="2" t="s">
        <v>275</v>
      </c>
      <c r="C60" s="81" t="s">
        <v>276</v>
      </c>
      <c r="D60" s="74"/>
      <c r="E60" s="2" t="s">
        <v>199</v>
      </c>
      <c r="F60" s="11">
        <v>1</v>
      </c>
      <c r="G60" s="59">
        <v>0</v>
      </c>
      <c r="H60" s="11">
        <f t="shared" si="0"/>
        <v>0</v>
      </c>
      <c r="I60" s="11">
        <v>1.41E-3</v>
      </c>
      <c r="J60" s="12">
        <v>1.41E-3</v>
      </c>
      <c r="Z60" s="11">
        <f t="shared" si="1"/>
        <v>0</v>
      </c>
      <c r="AB60" s="11">
        <f t="shared" si="2"/>
        <v>0</v>
      </c>
      <c r="AC60" s="11">
        <f t="shared" si="3"/>
        <v>0</v>
      </c>
      <c r="AD60" s="11">
        <f t="shared" si="4"/>
        <v>0</v>
      </c>
      <c r="AE60" s="11">
        <f t="shared" si="5"/>
        <v>0</v>
      </c>
      <c r="AF60" s="11">
        <f t="shared" si="6"/>
        <v>0</v>
      </c>
      <c r="AG60" s="11">
        <f t="shared" si="7"/>
        <v>0</v>
      </c>
      <c r="AH60" s="11">
        <f t="shared" si="8"/>
        <v>0</v>
      </c>
      <c r="AI60" s="45" t="s">
        <v>21</v>
      </c>
      <c r="AJ60" s="11">
        <f t="shared" si="9"/>
        <v>0</v>
      </c>
      <c r="AK60" s="11">
        <f t="shared" si="10"/>
        <v>0</v>
      </c>
      <c r="AL60" s="11">
        <f t="shared" si="11"/>
        <v>0</v>
      </c>
      <c r="AN60" s="11">
        <v>12</v>
      </c>
      <c r="AO60" s="11">
        <f>G60*0.191961954</f>
        <v>0</v>
      </c>
      <c r="AP60" s="11">
        <f>G60*(1-0.191961954)</f>
        <v>0</v>
      </c>
      <c r="AQ60" s="60" t="s">
        <v>189</v>
      </c>
      <c r="AV60" s="11">
        <f t="shared" si="12"/>
        <v>0</v>
      </c>
      <c r="AW60" s="11">
        <f t="shared" si="13"/>
        <v>0</v>
      </c>
      <c r="AX60" s="11">
        <f t="shared" si="14"/>
        <v>0</v>
      </c>
      <c r="AY60" s="60" t="s">
        <v>273</v>
      </c>
      <c r="AZ60" s="60" t="s">
        <v>268</v>
      </c>
      <c r="BA60" s="45" t="s">
        <v>165</v>
      </c>
      <c r="BC60" s="11">
        <f t="shared" si="15"/>
        <v>0</v>
      </c>
      <c r="BD60" s="11">
        <f t="shared" si="16"/>
        <v>0</v>
      </c>
      <c r="BE60" s="11">
        <v>0</v>
      </c>
      <c r="BF60" s="11">
        <f>60</f>
        <v>60</v>
      </c>
      <c r="BH60" s="11">
        <f t="shared" si="17"/>
        <v>0</v>
      </c>
      <c r="BI60" s="11">
        <f t="shared" si="18"/>
        <v>0</v>
      </c>
      <c r="BJ60" s="11">
        <f t="shared" si="19"/>
        <v>0</v>
      </c>
      <c r="BK60" s="11"/>
      <c r="BL60" s="11">
        <v>766</v>
      </c>
      <c r="BW60" s="11">
        <v>12</v>
      </c>
      <c r="BX60" s="3" t="s">
        <v>276</v>
      </c>
    </row>
    <row r="61" spans="1:76" ht="14.5" x14ac:dyDescent="0.35">
      <c r="A61" s="1" t="s">
        <v>277</v>
      </c>
      <c r="B61" s="2" t="s">
        <v>278</v>
      </c>
      <c r="C61" s="81" t="s">
        <v>279</v>
      </c>
      <c r="D61" s="74"/>
      <c r="E61" s="2" t="s">
        <v>199</v>
      </c>
      <c r="F61" s="11">
        <v>6</v>
      </c>
      <c r="G61" s="59">
        <v>0</v>
      </c>
      <c r="H61" s="11">
        <f t="shared" si="0"/>
        <v>0</v>
      </c>
      <c r="I61" s="11">
        <v>1.6100000000000001E-3</v>
      </c>
      <c r="J61" s="12">
        <v>1.6100000000000001E-3</v>
      </c>
      <c r="Z61" s="11">
        <f t="shared" si="1"/>
        <v>0</v>
      </c>
      <c r="AB61" s="11">
        <f t="shared" si="2"/>
        <v>0</v>
      </c>
      <c r="AC61" s="11">
        <f t="shared" si="3"/>
        <v>0</v>
      </c>
      <c r="AD61" s="11">
        <f t="shared" si="4"/>
        <v>0</v>
      </c>
      <c r="AE61" s="11">
        <f t="shared" si="5"/>
        <v>0</v>
      </c>
      <c r="AF61" s="11">
        <f t="shared" si="6"/>
        <v>0</v>
      </c>
      <c r="AG61" s="11">
        <f t="shared" si="7"/>
        <v>0</v>
      </c>
      <c r="AH61" s="11">
        <f t="shared" si="8"/>
        <v>0</v>
      </c>
      <c r="AI61" s="45" t="s">
        <v>21</v>
      </c>
      <c r="AJ61" s="11">
        <f t="shared" si="9"/>
        <v>0</v>
      </c>
      <c r="AK61" s="11">
        <f t="shared" si="10"/>
        <v>0</v>
      </c>
      <c r="AL61" s="11">
        <f t="shared" si="11"/>
        <v>0</v>
      </c>
      <c r="AN61" s="11">
        <v>12</v>
      </c>
      <c r="AO61" s="11">
        <f>G61*0.213097754</f>
        <v>0</v>
      </c>
      <c r="AP61" s="11">
        <f>G61*(1-0.213097754)</f>
        <v>0</v>
      </c>
      <c r="AQ61" s="60" t="s">
        <v>189</v>
      </c>
      <c r="AV61" s="11">
        <f t="shared" si="12"/>
        <v>0</v>
      </c>
      <c r="AW61" s="11">
        <f t="shared" si="13"/>
        <v>0</v>
      </c>
      <c r="AX61" s="11">
        <f t="shared" si="14"/>
        <v>0</v>
      </c>
      <c r="AY61" s="60" t="s">
        <v>273</v>
      </c>
      <c r="AZ61" s="60" t="s">
        <v>268</v>
      </c>
      <c r="BA61" s="45" t="s">
        <v>165</v>
      </c>
      <c r="BC61" s="11">
        <f t="shared" si="15"/>
        <v>0</v>
      </c>
      <c r="BD61" s="11">
        <f t="shared" si="16"/>
        <v>0</v>
      </c>
      <c r="BE61" s="11">
        <v>0</v>
      </c>
      <c r="BF61" s="11">
        <f>61</f>
        <v>61</v>
      </c>
      <c r="BH61" s="11">
        <f t="shared" si="17"/>
        <v>0</v>
      </c>
      <c r="BI61" s="11">
        <f t="shared" si="18"/>
        <v>0</v>
      </c>
      <c r="BJ61" s="11">
        <f t="shared" si="19"/>
        <v>0</v>
      </c>
      <c r="BK61" s="11"/>
      <c r="BL61" s="11">
        <v>766</v>
      </c>
      <c r="BW61" s="11">
        <v>12</v>
      </c>
      <c r="BX61" s="3" t="s">
        <v>279</v>
      </c>
    </row>
    <row r="62" spans="1:76" ht="14.5" x14ac:dyDescent="0.35">
      <c r="A62" s="1" t="s">
        <v>18</v>
      </c>
      <c r="B62" s="2" t="s">
        <v>280</v>
      </c>
      <c r="C62" s="81" t="s">
        <v>281</v>
      </c>
      <c r="D62" s="74"/>
      <c r="E62" s="2" t="s">
        <v>199</v>
      </c>
      <c r="F62" s="11">
        <v>10</v>
      </c>
      <c r="G62" s="59">
        <v>0</v>
      </c>
      <c r="H62" s="11">
        <f t="shared" si="0"/>
        <v>0</v>
      </c>
      <c r="I62" s="11">
        <v>8.0000000000000004E-4</v>
      </c>
      <c r="J62" s="12">
        <v>8.0000000000000004E-4</v>
      </c>
      <c r="Z62" s="11">
        <f t="shared" si="1"/>
        <v>0</v>
      </c>
      <c r="AB62" s="11">
        <f t="shared" si="2"/>
        <v>0</v>
      </c>
      <c r="AC62" s="11">
        <f t="shared" si="3"/>
        <v>0</v>
      </c>
      <c r="AD62" s="11">
        <f t="shared" si="4"/>
        <v>0</v>
      </c>
      <c r="AE62" s="11">
        <f t="shared" si="5"/>
        <v>0</v>
      </c>
      <c r="AF62" s="11">
        <f t="shared" si="6"/>
        <v>0</v>
      </c>
      <c r="AG62" s="11">
        <f t="shared" si="7"/>
        <v>0</v>
      </c>
      <c r="AH62" s="11">
        <f t="shared" si="8"/>
        <v>0</v>
      </c>
      <c r="AI62" s="45" t="s">
        <v>21</v>
      </c>
      <c r="AJ62" s="11">
        <f t="shared" si="9"/>
        <v>0</v>
      </c>
      <c r="AK62" s="11">
        <f t="shared" si="10"/>
        <v>0</v>
      </c>
      <c r="AL62" s="11">
        <f t="shared" si="11"/>
        <v>0</v>
      </c>
      <c r="AN62" s="11">
        <v>12</v>
      </c>
      <c r="AO62" s="11">
        <f>G62*1</f>
        <v>0</v>
      </c>
      <c r="AP62" s="11">
        <f>G62*(1-1)</f>
        <v>0</v>
      </c>
      <c r="AQ62" s="60" t="s">
        <v>189</v>
      </c>
      <c r="AV62" s="11">
        <f t="shared" si="12"/>
        <v>0</v>
      </c>
      <c r="AW62" s="11">
        <f t="shared" si="13"/>
        <v>0</v>
      </c>
      <c r="AX62" s="11">
        <f t="shared" si="14"/>
        <v>0</v>
      </c>
      <c r="AY62" s="60" t="s">
        <v>273</v>
      </c>
      <c r="AZ62" s="60" t="s">
        <v>268</v>
      </c>
      <c r="BA62" s="45" t="s">
        <v>165</v>
      </c>
      <c r="BC62" s="11">
        <f t="shared" si="15"/>
        <v>0</v>
      </c>
      <c r="BD62" s="11">
        <f t="shared" si="16"/>
        <v>0</v>
      </c>
      <c r="BE62" s="11">
        <v>0</v>
      </c>
      <c r="BF62" s="11">
        <f>62</f>
        <v>62</v>
      </c>
      <c r="BH62" s="11">
        <f t="shared" si="17"/>
        <v>0</v>
      </c>
      <c r="BI62" s="11">
        <f t="shared" si="18"/>
        <v>0</v>
      </c>
      <c r="BJ62" s="11">
        <f t="shared" si="19"/>
        <v>0</v>
      </c>
      <c r="BK62" s="11"/>
      <c r="BL62" s="11">
        <v>766</v>
      </c>
      <c r="BW62" s="11">
        <v>12</v>
      </c>
      <c r="BX62" s="3" t="s">
        <v>281</v>
      </c>
    </row>
    <row r="63" spans="1:76" ht="14.5" x14ac:dyDescent="0.35">
      <c r="A63" s="1" t="s">
        <v>282</v>
      </c>
      <c r="B63" s="2" t="s">
        <v>283</v>
      </c>
      <c r="C63" s="81" t="s">
        <v>284</v>
      </c>
      <c r="D63" s="74"/>
      <c r="E63" s="2" t="s">
        <v>199</v>
      </c>
      <c r="F63" s="11">
        <v>5</v>
      </c>
      <c r="G63" s="59">
        <v>0</v>
      </c>
      <c r="H63" s="11">
        <f t="shared" si="0"/>
        <v>0</v>
      </c>
      <c r="I63" s="11">
        <v>1.4999999999999999E-2</v>
      </c>
      <c r="J63" s="12">
        <v>1.4999999999999999E-2</v>
      </c>
      <c r="Z63" s="11">
        <f t="shared" si="1"/>
        <v>0</v>
      </c>
      <c r="AB63" s="11">
        <f t="shared" si="2"/>
        <v>0</v>
      </c>
      <c r="AC63" s="11">
        <f t="shared" si="3"/>
        <v>0</v>
      </c>
      <c r="AD63" s="11">
        <f t="shared" si="4"/>
        <v>0</v>
      </c>
      <c r="AE63" s="11">
        <f t="shared" si="5"/>
        <v>0</v>
      </c>
      <c r="AF63" s="11">
        <f t="shared" si="6"/>
        <v>0</v>
      </c>
      <c r="AG63" s="11">
        <f t="shared" si="7"/>
        <v>0</v>
      </c>
      <c r="AH63" s="11">
        <f t="shared" si="8"/>
        <v>0</v>
      </c>
      <c r="AI63" s="45" t="s">
        <v>21</v>
      </c>
      <c r="AJ63" s="11">
        <f t="shared" si="9"/>
        <v>0</v>
      </c>
      <c r="AK63" s="11">
        <f t="shared" si="10"/>
        <v>0</v>
      </c>
      <c r="AL63" s="11">
        <f t="shared" si="11"/>
        <v>0</v>
      </c>
      <c r="AN63" s="11">
        <v>12</v>
      </c>
      <c r="AO63" s="11">
        <f>G63*1</f>
        <v>0</v>
      </c>
      <c r="AP63" s="11">
        <f>G63*(1-1)</f>
        <v>0</v>
      </c>
      <c r="AQ63" s="60" t="s">
        <v>189</v>
      </c>
      <c r="AV63" s="11">
        <f t="shared" si="12"/>
        <v>0</v>
      </c>
      <c r="AW63" s="11">
        <f t="shared" si="13"/>
        <v>0</v>
      </c>
      <c r="AX63" s="11">
        <f t="shared" si="14"/>
        <v>0</v>
      </c>
      <c r="AY63" s="60" t="s">
        <v>273</v>
      </c>
      <c r="AZ63" s="60" t="s">
        <v>268</v>
      </c>
      <c r="BA63" s="45" t="s">
        <v>165</v>
      </c>
      <c r="BC63" s="11">
        <f t="shared" si="15"/>
        <v>0</v>
      </c>
      <c r="BD63" s="11">
        <f t="shared" si="16"/>
        <v>0</v>
      </c>
      <c r="BE63" s="11">
        <v>0</v>
      </c>
      <c r="BF63" s="11">
        <f>63</f>
        <v>63</v>
      </c>
      <c r="BH63" s="11">
        <f t="shared" si="17"/>
        <v>0</v>
      </c>
      <c r="BI63" s="11">
        <f t="shared" si="18"/>
        <v>0</v>
      </c>
      <c r="BJ63" s="11">
        <f t="shared" si="19"/>
        <v>0</v>
      </c>
      <c r="BK63" s="11"/>
      <c r="BL63" s="11">
        <v>766</v>
      </c>
      <c r="BW63" s="11">
        <v>12</v>
      </c>
      <c r="BX63" s="3" t="s">
        <v>284</v>
      </c>
    </row>
    <row r="64" spans="1:76" ht="14.5" x14ac:dyDescent="0.35">
      <c r="A64" s="1" t="s">
        <v>285</v>
      </c>
      <c r="B64" s="2" t="s">
        <v>286</v>
      </c>
      <c r="C64" s="81" t="s">
        <v>287</v>
      </c>
      <c r="D64" s="74"/>
      <c r="E64" s="2" t="s">
        <v>199</v>
      </c>
      <c r="F64" s="11">
        <v>1</v>
      </c>
      <c r="G64" s="59">
        <v>0</v>
      </c>
      <c r="H64" s="11">
        <f t="shared" si="0"/>
        <v>0</v>
      </c>
      <c r="I64" s="11">
        <v>1.7000000000000001E-2</v>
      </c>
      <c r="J64" s="12">
        <v>1.7000000000000001E-2</v>
      </c>
      <c r="Z64" s="11">
        <f t="shared" si="1"/>
        <v>0</v>
      </c>
      <c r="AB64" s="11">
        <f t="shared" si="2"/>
        <v>0</v>
      </c>
      <c r="AC64" s="11">
        <f t="shared" si="3"/>
        <v>0</v>
      </c>
      <c r="AD64" s="11">
        <f t="shared" si="4"/>
        <v>0</v>
      </c>
      <c r="AE64" s="11">
        <f t="shared" si="5"/>
        <v>0</v>
      </c>
      <c r="AF64" s="11">
        <f t="shared" si="6"/>
        <v>0</v>
      </c>
      <c r="AG64" s="11">
        <f t="shared" si="7"/>
        <v>0</v>
      </c>
      <c r="AH64" s="11">
        <f t="shared" si="8"/>
        <v>0</v>
      </c>
      <c r="AI64" s="45" t="s">
        <v>21</v>
      </c>
      <c r="AJ64" s="11">
        <f t="shared" si="9"/>
        <v>0</v>
      </c>
      <c r="AK64" s="11">
        <f t="shared" si="10"/>
        <v>0</v>
      </c>
      <c r="AL64" s="11">
        <f t="shared" si="11"/>
        <v>0</v>
      </c>
      <c r="AN64" s="11">
        <v>12</v>
      </c>
      <c r="AO64" s="11">
        <f>G64*1</f>
        <v>0</v>
      </c>
      <c r="AP64" s="11">
        <f>G64*(1-1)</f>
        <v>0</v>
      </c>
      <c r="AQ64" s="60" t="s">
        <v>189</v>
      </c>
      <c r="AV64" s="11">
        <f t="shared" si="12"/>
        <v>0</v>
      </c>
      <c r="AW64" s="11">
        <f t="shared" si="13"/>
        <v>0</v>
      </c>
      <c r="AX64" s="11">
        <f t="shared" si="14"/>
        <v>0</v>
      </c>
      <c r="AY64" s="60" t="s">
        <v>273</v>
      </c>
      <c r="AZ64" s="60" t="s">
        <v>268</v>
      </c>
      <c r="BA64" s="45" t="s">
        <v>165</v>
      </c>
      <c r="BC64" s="11">
        <f t="shared" si="15"/>
        <v>0</v>
      </c>
      <c r="BD64" s="11">
        <f t="shared" si="16"/>
        <v>0</v>
      </c>
      <c r="BE64" s="11">
        <v>0</v>
      </c>
      <c r="BF64" s="11">
        <f>64</f>
        <v>64</v>
      </c>
      <c r="BH64" s="11">
        <f t="shared" si="17"/>
        <v>0</v>
      </c>
      <c r="BI64" s="11">
        <f t="shared" si="18"/>
        <v>0</v>
      </c>
      <c r="BJ64" s="11">
        <f t="shared" si="19"/>
        <v>0</v>
      </c>
      <c r="BK64" s="11"/>
      <c r="BL64" s="11">
        <v>766</v>
      </c>
      <c r="BW64" s="11">
        <v>12</v>
      </c>
      <c r="BX64" s="3" t="s">
        <v>287</v>
      </c>
    </row>
    <row r="65" spans="1:76" ht="14.5" x14ac:dyDescent="0.35">
      <c r="A65" s="1" t="s">
        <v>288</v>
      </c>
      <c r="B65" s="2" t="s">
        <v>289</v>
      </c>
      <c r="C65" s="81" t="s">
        <v>290</v>
      </c>
      <c r="D65" s="74"/>
      <c r="E65" s="2" t="s">
        <v>199</v>
      </c>
      <c r="F65" s="11">
        <v>6</v>
      </c>
      <c r="G65" s="59">
        <v>0</v>
      </c>
      <c r="H65" s="11">
        <f t="shared" si="0"/>
        <v>0</v>
      </c>
      <c r="I65" s="11">
        <v>1.9E-2</v>
      </c>
      <c r="J65" s="12">
        <v>1.9E-2</v>
      </c>
      <c r="Z65" s="11">
        <f t="shared" si="1"/>
        <v>0</v>
      </c>
      <c r="AB65" s="11">
        <f t="shared" si="2"/>
        <v>0</v>
      </c>
      <c r="AC65" s="11">
        <f t="shared" si="3"/>
        <v>0</v>
      </c>
      <c r="AD65" s="11">
        <f t="shared" si="4"/>
        <v>0</v>
      </c>
      <c r="AE65" s="11">
        <f t="shared" si="5"/>
        <v>0</v>
      </c>
      <c r="AF65" s="11">
        <f t="shared" si="6"/>
        <v>0</v>
      </c>
      <c r="AG65" s="11">
        <f t="shared" si="7"/>
        <v>0</v>
      </c>
      <c r="AH65" s="11">
        <f t="shared" si="8"/>
        <v>0</v>
      </c>
      <c r="AI65" s="45" t="s">
        <v>21</v>
      </c>
      <c r="AJ65" s="11">
        <f t="shared" si="9"/>
        <v>0</v>
      </c>
      <c r="AK65" s="11">
        <f t="shared" si="10"/>
        <v>0</v>
      </c>
      <c r="AL65" s="11">
        <f t="shared" si="11"/>
        <v>0</v>
      </c>
      <c r="AN65" s="11">
        <v>12</v>
      </c>
      <c r="AO65" s="11">
        <f>G65*1</f>
        <v>0</v>
      </c>
      <c r="AP65" s="11">
        <f>G65*(1-1)</f>
        <v>0</v>
      </c>
      <c r="AQ65" s="60" t="s">
        <v>189</v>
      </c>
      <c r="AV65" s="11">
        <f t="shared" si="12"/>
        <v>0</v>
      </c>
      <c r="AW65" s="11">
        <f t="shared" si="13"/>
        <v>0</v>
      </c>
      <c r="AX65" s="11">
        <f t="shared" si="14"/>
        <v>0</v>
      </c>
      <c r="AY65" s="60" t="s">
        <v>273</v>
      </c>
      <c r="AZ65" s="60" t="s">
        <v>268</v>
      </c>
      <c r="BA65" s="45" t="s">
        <v>165</v>
      </c>
      <c r="BC65" s="11">
        <f t="shared" si="15"/>
        <v>0</v>
      </c>
      <c r="BD65" s="11">
        <f t="shared" si="16"/>
        <v>0</v>
      </c>
      <c r="BE65" s="11">
        <v>0</v>
      </c>
      <c r="BF65" s="11">
        <f>65</f>
        <v>65</v>
      </c>
      <c r="BH65" s="11">
        <f t="shared" si="17"/>
        <v>0</v>
      </c>
      <c r="BI65" s="11">
        <f t="shared" si="18"/>
        <v>0</v>
      </c>
      <c r="BJ65" s="11">
        <f t="shared" si="19"/>
        <v>0</v>
      </c>
      <c r="BK65" s="11"/>
      <c r="BL65" s="11">
        <v>766</v>
      </c>
      <c r="BW65" s="11">
        <v>12</v>
      </c>
      <c r="BX65" s="3" t="s">
        <v>290</v>
      </c>
    </row>
    <row r="66" spans="1:76" ht="14.5" x14ac:dyDescent="0.35">
      <c r="A66" s="1" t="s">
        <v>291</v>
      </c>
      <c r="B66" s="2" t="s">
        <v>292</v>
      </c>
      <c r="C66" s="81" t="s">
        <v>293</v>
      </c>
      <c r="D66" s="74"/>
      <c r="E66" s="2" t="s">
        <v>294</v>
      </c>
      <c r="F66" s="11">
        <v>1</v>
      </c>
      <c r="G66" s="59">
        <v>0</v>
      </c>
      <c r="H66" s="11">
        <f t="shared" si="0"/>
        <v>0</v>
      </c>
      <c r="I66" s="11">
        <v>3.2509999999999997E-2</v>
      </c>
      <c r="J66" s="12">
        <v>3.2509999999999997E-2</v>
      </c>
      <c r="Z66" s="11">
        <f t="shared" si="1"/>
        <v>0</v>
      </c>
      <c r="AB66" s="11">
        <f t="shared" si="2"/>
        <v>0</v>
      </c>
      <c r="AC66" s="11">
        <f t="shared" si="3"/>
        <v>0</v>
      </c>
      <c r="AD66" s="11">
        <f t="shared" si="4"/>
        <v>0</v>
      </c>
      <c r="AE66" s="11">
        <f t="shared" si="5"/>
        <v>0</v>
      </c>
      <c r="AF66" s="11">
        <f t="shared" si="6"/>
        <v>0</v>
      </c>
      <c r="AG66" s="11">
        <f t="shared" si="7"/>
        <v>0</v>
      </c>
      <c r="AH66" s="11">
        <f t="shared" si="8"/>
        <v>0</v>
      </c>
      <c r="AI66" s="45" t="s">
        <v>21</v>
      </c>
      <c r="AJ66" s="11">
        <f t="shared" si="9"/>
        <v>0</v>
      </c>
      <c r="AK66" s="11">
        <f t="shared" si="10"/>
        <v>0</v>
      </c>
      <c r="AL66" s="11">
        <f t="shared" si="11"/>
        <v>0</v>
      </c>
      <c r="AN66" s="11">
        <v>12</v>
      </c>
      <c r="AO66" s="11">
        <f>G66*0.867952569</f>
        <v>0</v>
      </c>
      <c r="AP66" s="11">
        <f>G66*(1-0.867952569)</f>
        <v>0</v>
      </c>
      <c r="AQ66" s="60" t="s">
        <v>189</v>
      </c>
      <c r="AV66" s="11">
        <f t="shared" si="12"/>
        <v>0</v>
      </c>
      <c r="AW66" s="11">
        <f t="shared" si="13"/>
        <v>0</v>
      </c>
      <c r="AX66" s="11">
        <f t="shared" si="14"/>
        <v>0</v>
      </c>
      <c r="AY66" s="60" t="s">
        <v>273</v>
      </c>
      <c r="AZ66" s="60" t="s">
        <v>268</v>
      </c>
      <c r="BA66" s="45" t="s">
        <v>165</v>
      </c>
      <c r="BC66" s="11">
        <f t="shared" si="15"/>
        <v>0</v>
      </c>
      <c r="BD66" s="11">
        <f t="shared" si="16"/>
        <v>0</v>
      </c>
      <c r="BE66" s="11">
        <v>0</v>
      </c>
      <c r="BF66" s="11">
        <f>66</f>
        <v>66</v>
      </c>
      <c r="BH66" s="11">
        <f t="shared" si="17"/>
        <v>0</v>
      </c>
      <c r="BI66" s="11">
        <f t="shared" si="18"/>
        <v>0</v>
      </c>
      <c r="BJ66" s="11">
        <f t="shared" si="19"/>
        <v>0</v>
      </c>
      <c r="BK66" s="11"/>
      <c r="BL66" s="11">
        <v>766</v>
      </c>
      <c r="BW66" s="11">
        <v>12</v>
      </c>
      <c r="BX66" s="3" t="s">
        <v>293</v>
      </c>
    </row>
    <row r="67" spans="1:76" ht="25" x14ac:dyDescent="0.35">
      <c r="A67" s="1" t="s">
        <v>295</v>
      </c>
      <c r="B67" s="2" t="s">
        <v>296</v>
      </c>
      <c r="C67" s="81" t="s">
        <v>297</v>
      </c>
      <c r="D67" s="74"/>
      <c r="E67" s="2" t="s">
        <v>294</v>
      </c>
      <c r="F67" s="11">
        <v>3</v>
      </c>
      <c r="G67" s="59">
        <v>0</v>
      </c>
      <c r="H67" s="11">
        <f t="shared" si="0"/>
        <v>0</v>
      </c>
      <c r="I67" s="11">
        <v>3.2509999999999997E-2</v>
      </c>
      <c r="J67" s="12">
        <v>3.2509999999999997E-2</v>
      </c>
      <c r="Z67" s="11">
        <f t="shared" si="1"/>
        <v>0</v>
      </c>
      <c r="AB67" s="11">
        <f t="shared" si="2"/>
        <v>0</v>
      </c>
      <c r="AC67" s="11">
        <f t="shared" si="3"/>
        <v>0</v>
      </c>
      <c r="AD67" s="11">
        <f t="shared" si="4"/>
        <v>0</v>
      </c>
      <c r="AE67" s="11">
        <f t="shared" si="5"/>
        <v>0</v>
      </c>
      <c r="AF67" s="11">
        <f t="shared" si="6"/>
        <v>0</v>
      </c>
      <c r="AG67" s="11">
        <f t="shared" si="7"/>
        <v>0</v>
      </c>
      <c r="AH67" s="11">
        <f t="shared" si="8"/>
        <v>0</v>
      </c>
      <c r="AI67" s="45" t="s">
        <v>21</v>
      </c>
      <c r="AJ67" s="11">
        <f t="shared" si="9"/>
        <v>0</v>
      </c>
      <c r="AK67" s="11">
        <f t="shared" si="10"/>
        <v>0</v>
      </c>
      <c r="AL67" s="11">
        <f t="shared" si="11"/>
        <v>0</v>
      </c>
      <c r="AN67" s="11">
        <v>12</v>
      </c>
      <c r="AO67" s="11">
        <f>G67*0.867952381</f>
        <v>0</v>
      </c>
      <c r="AP67" s="11">
        <f>G67*(1-0.867952381)</f>
        <v>0</v>
      </c>
      <c r="AQ67" s="60" t="s">
        <v>189</v>
      </c>
      <c r="AV67" s="11">
        <f t="shared" si="12"/>
        <v>0</v>
      </c>
      <c r="AW67" s="11">
        <f t="shared" si="13"/>
        <v>0</v>
      </c>
      <c r="AX67" s="11">
        <f t="shared" si="14"/>
        <v>0</v>
      </c>
      <c r="AY67" s="60" t="s">
        <v>273</v>
      </c>
      <c r="AZ67" s="60" t="s">
        <v>268</v>
      </c>
      <c r="BA67" s="45" t="s">
        <v>165</v>
      </c>
      <c r="BC67" s="11">
        <f t="shared" si="15"/>
        <v>0</v>
      </c>
      <c r="BD67" s="11">
        <f t="shared" si="16"/>
        <v>0</v>
      </c>
      <c r="BE67" s="11">
        <v>0</v>
      </c>
      <c r="BF67" s="11">
        <f>67</f>
        <v>67</v>
      </c>
      <c r="BH67" s="11">
        <f t="shared" si="17"/>
        <v>0</v>
      </c>
      <c r="BI67" s="11">
        <f t="shared" si="18"/>
        <v>0</v>
      </c>
      <c r="BJ67" s="11">
        <f t="shared" si="19"/>
        <v>0</v>
      </c>
      <c r="BK67" s="11"/>
      <c r="BL67" s="11">
        <v>766</v>
      </c>
      <c r="BW67" s="11">
        <v>12</v>
      </c>
      <c r="BX67" s="3" t="s">
        <v>297</v>
      </c>
    </row>
    <row r="68" spans="1:76" ht="25" x14ac:dyDescent="0.35">
      <c r="A68" s="1" t="s">
        <v>298</v>
      </c>
      <c r="B68" s="2" t="s">
        <v>299</v>
      </c>
      <c r="C68" s="81" t="s">
        <v>300</v>
      </c>
      <c r="D68" s="74"/>
      <c r="E68" s="2" t="s">
        <v>294</v>
      </c>
      <c r="F68" s="11">
        <v>2</v>
      </c>
      <c r="G68" s="59">
        <v>0</v>
      </c>
      <c r="H68" s="11">
        <f t="shared" si="0"/>
        <v>0</v>
      </c>
      <c r="I68" s="11">
        <v>3.2509999999999997E-2</v>
      </c>
      <c r="J68" s="12">
        <v>3.2509999999999997E-2</v>
      </c>
      <c r="Z68" s="11">
        <f t="shared" si="1"/>
        <v>0</v>
      </c>
      <c r="AB68" s="11">
        <f t="shared" si="2"/>
        <v>0</v>
      </c>
      <c r="AC68" s="11">
        <f t="shared" si="3"/>
        <v>0</v>
      </c>
      <c r="AD68" s="11">
        <f t="shared" si="4"/>
        <v>0</v>
      </c>
      <c r="AE68" s="11">
        <f t="shared" si="5"/>
        <v>0</v>
      </c>
      <c r="AF68" s="11">
        <f t="shared" si="6"/>
        <v>0</v>
      </c>
      <c r="AG68" s="11">
        <f t="shared" si="7"/>
        <v>0</v>
      </c>
      <c r="AH68" s="11">
        <f t="shared" si="8"/>
        <v>0</v>
      </c>
      <c r="AI68" s="45" t="s">
        <v>21</v>
      </c>
      <c r="AJ68" s="11">
        <f t="shared" si="9"/>
        <v>0</v>
      </c>
      <c r="AK68" s="11">
        <f t="shared" si="10"/>
        <v>0</v>
      </c>
      <c r="AL68" s="11">
        <f t="shared" si="11"/>
        <v>0</v>
      </c>
      <c r="AN68" s="11">
        <v>12</v>
      </c>
      <c r="AO68" s="11">
        <f>G68*0.867952621</f>
        <v>0</v>
      </c>
      <c r="AP68" s="11">
        <f>G68*(1-0.867952621)</f>
        <v>0</v>
      </c>
      <c r="AQ68" s="60" t="s">
        <v>189</v>
      </c>
      <c r="AV68" s="11">
        <f t="shared" si="12"/>
        <v>0</v>
      </c>
      <c r="AW68" s="11">
        <f t="shared" si="13"/>
        <v>0</v>
      </c>
      <c r="AX68" s="11">
        <f t="shared" si="14"/>
        <v>0</v>
      </c>
      <c r="AY68" s="60" t="s">
        <v>273</v>
      </c>
      <c r="AZ68" s="60" t="s">
        <v>268</v>
      </c>
      <c r="BA68" s="45" t="s">
        <v>165</v>
      </c>
      <c r="BC68" s="11">
        <f t="shared" si="15"/>
        <v>0</v>
      </c>
      <c r="BD68" s="11">
        <f t="shared" si="16"/>
        <v>0</v>
      </c>
      <c r="BE68" s="11">
        <v>0</v>
      </c>
      <c r="BF68" s="11">
        <f>68</f>
        <v>68</v>
      </c>
      <c r="BH68" s="11">
        <f t="shared" si="17"/>
        <v>0</v>
      </c>
      <c r="BI68" s="11">
        <f t="shared" si="18"/>
        <v>0</v>
      </c>
      <c r="BJ68" s="11">
        <f t="shared" si="19"/>
        <v>0</v>
      </c>
      <c r="BK68" s="11"/>
      <c r="BL68" s="11">
        <v>766</v>
      </c>
      <c r="BW68" s="11">
        <v>12</v>
      </c>
      <c r="BX68" s="3" t="s">
        <v>300</v>
      </c>
    </row>
    <row r="69" spans="1:76" ht="14.5" x14ac:dyDescent="0.35">
      <c r="A69" s="1" t="s">
        <v>301</v>
      </c>
      <c r="B69" s="2" t="s">
        <v>299</v>
      </c>
      <c r="C69" s="81" t="s">
        <v>302</v>
      </c>
      <c r="D69" s="74"/>
      <c r="E69" s="2" t="s">
        <v>294</v>
      </c>
      <c r="F69" s="11">
        <v>1</v>
      </c>
      <c r="G69" s="59">
        <v>0</v>
      </c>
      <c r="H69" s="11">
        <f t="shared" si="0"/>
        <v>0</v>
      </c>
      <c r="I69" s="11">
        <v>3.2509999999999997E-2</v>
      </c>
      <c r="J69" s="12">
        <v>3.2509999999999997E-2</v>
      </c>
      <c r="Z69" s="11">
        <f t="shared" si="1"/>
        <v>0</v>
      </c>
      <c r="AB69" s="11">
        <f t="shared" si="2"/>
        <v>0</v>
      </c>
      <c r="AC69" s="11">
        <f t="shared" si="3"/>
        <v>0</v>
      </c>
      <c r="AD69" s="11">
        <f t="shared" si="4"/>
        <v>0</v>
      </c>
      <c r="AE69" s="11">
        <f t="shared" si="5"/>
        <v>0</v>
      </c>
      <c r="AF69" s="11">
        <f t="shared" si="6"/>
        <v>0</v>
      </c>
      <c r="AG69" s="11">
        <f t="shared" si="7"/>
        <v>0</v>
      </c>
      <c r="AH69" s="11">
        <f t="shared" si="8"/>
        <v>0</v>
      </c>
      <c r="AI69" s="45" t="s">
        <v>21</v>
      </c>
      <c r="AJ69" s="11">
        <f t="shared" si="9"/>
        <v>0</v>
      </c>
      <c r="AK69" s="11">
        <f t="shared" si="10"/>
        <v>0</v>
      </c>
      <c r="AL69" s="11">
        <f t="shared" si="11"/>
        <v>0</v>
      </c>
      <c r="AN69" s="11">
        <v>12</v>
      </c>
      <c r="AO69" s="11">
        <f>G69*0.839650727</f>
        <v>0</v>
      </c>
      <c r="AP69" s="11">
        <f>G69*(1-0.839650727)</f>
        <v>0</v>
      </c>
      <c r="AQ69" s="60" t="s">
        <v>189</v>
      </c>
      <c r="AV69" s="11">
        <f t="shared" si="12"/>
        <v>0</v>
      </c>
      <c r="AW69" s="11">
        <f t="shared" si="13"/>
        <v>0</v>
      </c>
      <c r="AX69" s="11">
        <f t="shared" si="14"/>
        <v>0</v>
      </c>
      <c r="AY69" s="60" t="s">
        <v>273</v>
      </c>
      <c r="AZ69" s="60" t="s">
        <v>268</v>
      </c>
      <c r="BA69" s="45" t="s">
        <v>165</v>
      </c>
      <c r="BC69" s="11">
        <f t="shared" si="15"/>
        <v>0</v>
      </c>
      <c r="BD69" s="11">
        <f t="shared" si="16"/>
        <v>0</v>
      </c>
      <c r="BE69" s="11">
        <v>0</v>
      </c>
      <c r="BF69" s="11">
        <f>69</f>
        <v>69</v>
      </c>
      <c r="BH69" s="11">
        <f t="shared" si="17"/>
        <v>0</v>
      </c>
      <c r="BI69" s="11">
        <f t="shared" si="18"/>
        <v>0</v>
      </c>
      <c r="BJ69" s="11">
        <f t="shared" si="19"/>
        <v>0</v>
      </c>
      <c r="BK69" s="11"/>
      <c r="BL69" s="11">
        <v>766</v>
      </c>
      <c r="BW69" s="11">
        <v>12</v>
      </c>
      <c r="BX69" s="3" t="s">
        <v>302</v>
      </c>
    </row>
    <row r="70" spans="1:76" ht="14.5" x14ac:dyDescent="0.35">
      <c r="A70" s="1" t="s">
        <v>303</v>
      </c>
      <c r="B70" s="2" t="s">
        <v>304</v>
      </c>
      <c r="C70" s="81" t="s">
        <v>305</v>
      </c>
      <c r="D70" s="74"/>
      <c r="E70" s="2" t="s">
        <v>121</v>
      </c>
      <c r="F70" s="11">
        <v>4292.2299000000003</v>
      </c>
      <c r="G70" s="59">
        <v>0</v>
      </c>
      <c r="H70" s="11">
        <f t="shared" si="0"/>
        <v>0</v>
      </c>
      <c r="I70" s="11">
        <v>0</v>
      </c>
      <c r="J70" s="12">
        <v>0</v>
      </c>
      <c r="Z70" s="11">
        <f t="shared" si="1"/>
        <v>0</v>
      </c>
      <c r="AB70" s="11">
        <f t="shared" si="2"/>
        <v>0</v>
      </c>
      <c r="AC70" s="11">
        <f t="shared" si="3"/>
        <v>0</v>
      </c>
      <c r="AD70" s="11">
        <f t="shared" si="4"/>
        <v>0</v>
      </c>
      <c r="AE70" s="11">
        <f t="shared" si="5"/>
        <v>0</v>
      </c>
      <c r="AF70" s="11">
        <f t="shared" si="6"/>
        <v>0</v>
      </c>
      <c r="AG70" s="11">
        <f t="shared" si="7"/>
        <v>0</v>
      </c>
      <c r="AH70" s="11">
        <f t="shared" si="8"/>
        <v>0</v>
      </c>
      <c r="AI70" s="45" t="s">
        <v>21</v>
      </c>
      <c r="AJ70" s="11">
        <f t="shared" si="9"/>
        <v>0</v>
      </c>
      <c r="AK70" s="11">
        <f t="shared" si="10"/>
        <v>0</v>
      </c>
      <c r="AL70" s="11">
        <f t="shared" si="11"/>
        <v>0</v>
      </c>
      <c r="AN70" s="11">
        <v>12</v>
      </c>
      <c r="AO70" s="11">
        <f>G70*0</f>
        <v>0</v>
      </c>
      <c r="AP70" s="11">
        <f>G70*(1-0)</f>
        <v>0</v>
      </c>
      <c r="AQ70" s="60" t="s">
        <v>180</v>
      </c>
      <c r="AV70" s="11">
        <f t="shared" si="12"/>
        <v>0</v>
      </c>
      <c r="AW70" s="11">
        <f t="shared" si="13"/>
        <v>0</v>
      </c>
      <c r="AX70" s="11">
        <f t="shared" si="14"/>
        <v>0</v>
      </c>
      <c r="AY70" s="60" t="s">
        <v>273</v>
      </c>
      <c r="AZ70" s="60" t="s">
        <v>268</v>
      </c>
      <c r="BA70" s="45" t="s">
        <v>165</v>
      </c>
      <c r="BC70" s="11">
        <f t="shared" si="15"/>
        <v>0</v>
      </c>
      <c r="BD70" s="11">
        <f t="shared" si="16"/>
        <v>0</v>
      </c>
      <c r="BE70" s="11">
        <v>0</v>
      </c>
      <c r="BF70" s="11">
        <f>70</f>
        <v>70</v>
      </c>
      <c r="BH70" s="11">
        <f t="shared" si="17"/>
        <v>0</v>
      </c>
      <c r="BI70" s="11">
        <f t="shared" si="18"/>
        <v>0</v>
      </c>
      <c r="BJ70" s="11">
        <f t="shared" si="19"/>
        <v>0</v>
      </c>
      <c r="BK70" s="11"/>
      <c r="BL70" s="11">
        <v>766</v>
      </c>
      <c r="BW70" s="11">
        <v>12</v>
      </c>
      <c r="BX70" s="3" t="s">
        <v>305</v>
      </c>
    </row>
    <row r="71" spans="1:76" ht="14.5" x14ac:dyDescent="0.35">
      <c r="A71" s="61" t="s">
        <v>21</v>
      </c>
      <c r="B71" s="62" t="s">
        <v>42</v>
      </c>
      <c r="C71" s="163" t="s">
        <v>43</v>
      </c>
      <c r="D71" s="164"/>
      <c r="E71" s="63" t="s">
        <v>13</v>
      </c>
      <c r="F71" s="63" t="s">
        <v>13</v>
      </c>
      <c r="G71" s="64" t="s">
        <v>13</v>
      </c>
      <c r="H71" s="40">
        <f>SUM(H72:H82)</f>
        <v>0</v>
      </c>
      <c r="I71" s="45" t="s">
        <v>21</v>
      </c>
      <c r="J71" s="65" t="s">
        <v>21</v>
      </c>
      <c r="AI71" s="45" t="s">
        <v>21</v>
      </c>
      <c r="AS71" s="40">
        <f>SUM(AJ72:AJ82)</f>
        <v>0</v>
      </c>
      <c r="AT71" s="40">
        <f>SUM(AK72:AK82)</f>
        <v>0</v>
      </c>
      <c r="AU71" s="40">
        <f>SUM(AL72:AL82)</f>
        <v>0</v>
      </c>
    </row>
    <row r="72" spans="1:76" ht="14.5" x14ac:dyDescent="0.35">
      <c r="A72" s="1" t="s">
        <v>306</v>
      </c>
      <c r="B72" s="2" t="s">
        <v>307</v>
      </c>
      <c r="C72" s="81" t="s">
        <v>308</v>
      </c>
      <c r="D72" s="74"/>
      <c r="E72" s="2" t="s">
        <v>162</v>
      </c>
      <c r="F72" s="11">
        <v>161.69999999999999</v>
      </c>
      <c r="G72" s="59">
        <v>0</v>
      </c>
      <c r="H72" s="11">
        <f>F72*G72</f>
        <v>0</v>
      </c>
      <c r="I72" s="11">
        <v>0</v>
      </c>
      <c r="J72" s="12">
        <v>0</v>
      </c>
      <c r="Z72" s="11">
        <f>IF(AQ72="5",BJ72,0)</f>
        <v>0</v>
      </c>
      <c r="AB72" s="11">
        <f>IF(AQ72="1",BH72,0)</f>
        <v>0</v>
      </c>
      <c r="AC72" s="11">
        <f>IF(AQ72="1",BI72,0)</f>
        <v>0</v>
      </c>
      <c r="AD72" s="11">
        <f>IF(AQ72="7",BH72,0)</f>
        <v>0</v>
      </c>
      <c r="AE72" s="11">
        <f>IF(AQ72="7",BI72,0)</f>
        <v>0</v>
      </c>
      <c r="AF72" s="11">
        <f>IF(AQ72="2",BH72,0)</f>
        <v>0</v>
      </c>
      <c r="AG72" s="11">
        <f>IF(AQ72="2",BI72,0)</f>
        <v>0</v>
      </c>
      <c r="AH72" s="11">
        <f>IF(AQ72="0",BJ72,0)</f>
        <v>0</v>
      </c>
      <c r="AI72" s="45" t="s">
        <v>21</v>
      </c>
      <c r="AJ72" s="11">
        <f>IF(AN72=0,H72,0)</f>
        <v>0</v>
      </c>
      <c r="AK72" s="11">
        <f>IF(AN72=12,H72,0)</f>
        <v>0</v>
      </c>
      <c r="AL72" s="11">
        <f>IF(AN72=21,H72,0)</f>
        <v>0</v>
      </c>
      <c r="AN72" s="11">
        <v>12</v>
      </c>
      <c r="AO72" s="11">
        <f>G72*0</f>
        <v>0</v>
      </c>
      <c r="AP72" s="11">
        <f>G72*(1-0)</f>
        <v>0</v>
      </c>
      <c r="AQ72" s="60" t="s">
        <v>189</v>
      </c>
      <c r="AV72" s="11">
        <f>AW72+AX72</f>
        <v>0</v>
      </c>
      <c r="AW72" s="11">
        <f>F72*AO72</f>
        <v>0</v>
      </c>
      <c r="AX72" s="11">
        <f>F72*AP72</f>
        <v>0</v>
      </c>
      <c r="AY72" s="60" t="s">
        <v>309</v>
      </c>
      <c r="AZ72" s="60" t="s">
        <v>310</v>
      </c>
      <c r="BA72" s="45" t="s">
        <v>165</v>
      </c>
      <c r="BC72" s="11">
        <f>AW72+AX72</f>
        <v>0</v>
      </c>
      <c r="BD72" s="11">
        <f>G72/(100-BE72)*100</f>
        <v>0</v>
      </c>
      <c r="BE72" s="11">
        <v>0</v>
      </c>
      <c r="BF72" s="11">
        <f>72</f>
        <v>72</v>
      </c>
      <c r="BH72" s="11">
        <f>F72*AO72</f>
        <v>0</v>
      </c>
      <c r="BI72" s="11">
        <f>F72*AP72</f>
        <v>0</v>
      </c>
      <c r="BJ72" s="11">
        <f>F72*G72</f>
        <v>0</v>
      </c>
      <c r="BK72" s="11"/>
      <c r="BL72" s="11">
        <v>771</v>
      </c>
      <c r="BW72" s="11">
        <v>12</v>
      </c>
      <c r="BX72" s="3" t="s">
        <v>308</v>
      </c>
    </row>
    <row r="73" spans="1:76" ht="14.5" x14ac:dyDescent="0.35">
      <c r="A73" s="1" t="s">
        <v>311</v>
      </c>
      <c r="B73" s="2" t="s">
        <v>312</v>
      </c>
      <c r="C73" s="81" t="s">
        <v>313</v>
      </c>
      <c r="D73" s="74"/>
      <c r="E73" s="2" t="s">
        <v>162</v>
      </c>
      <c r="F73" s="11">
        <v>161.69999999999999</v>
      </c>
      <c r="G73" s="59">
        <v>0</v>
      </c>
      <c r="H73" s="11">
        <f>F73*G73</f>
        <v>0</v>
      </c>
      <c r="I73" s="11">
        <v>5.9999999999999995E-4</v>
      </c>
      <c r="J73" s="12">
        <v>5.9999999999999995E-4</v>
      </c>
      <c r="Z73" s="11">
        <f>IF(AQ73="5",BJ73,0)</f>
        <v>0</v>
      </c>
      <c r="AB73" s="11">
        <f>IF(AQ73="1",BH73,0)</f>
        <v>0</v>
      </c>
      <c r="AC73" s="11">
        <f>IF(AQ73="1",BI73,0)</f>
        <v>0</v>
      </c>
      <c r="AD73" s="11">
        <f>IF(AQ73="7",BH73,0)</f>
        <v>0</v>
      </c>
      <c r="AE73" s="11">
        <f>IF(AQ73="7",BI73,0)</f>
        <v>0</v>
      </c>
      <c r="AF73" s="11">
        <f>IF(AQ73="2",BH73,0)</f>
        <v>0</v>
      </c>
      <c r="AG73" s="11">
        <f>IF(AQ73="2",BI73,0)</f>
        <v>0</v>
      </c>
      <c r="AH73" s="11">
        <f>IF(AQ73="0",BJ73,0)</f>
        <v>0</v>
      </c>
      <c r="AI73" s="45" t="s">
        <v>21</v>
      </c>
      <c r="AJ73" s="11">
        <f>IF(AN73=0,H73,0)</f>
        <v>0</v>
      </c>
      <c r="AK73" s="11">
        <f>IF(AN73=12,H73,0)</f>
        <v>0</v>
      </c>
      <c r="AL73" s="11">
        <f>IF(AN73=21,H73,0)</f>
        <v>0</v>
      </c>
      <c r="AN73" s="11">
        <v>12</v>
      </c>
      <c r="AO73" s="11">
        <f>G73*1</f>
        <v>0</v>
      </c>
      <c r="AP73" s="11">
        <f>G73*(1-1)</f>
        <v>0</v>
      </c>
      <c r="AQ73" s="60" t="s">
        <v>189</v>
      </c>
      <c r="AV73" s="11">
        <f>AW73+AX73</f>
        <v>0</v>
      </c>
      <c r="AW73" s="11">
        <f>F73*AO73</f>
        <v>0</v>
      </c>
      <c r="AX73" s="11">
        <f>F73*AP73</f>
        <v>0</v>
      </c>
      <c r="AY73" s="60" t="s">
        <v>309</v>
      </c>
      <c r="AZ73" s="60" t="s">
        <v>310</v>
      </c>
      <c r="BA73" s="45" t="s">
        <v>165</v>
      </c>
      <c r="BC73" s="11">
        <f>AW73+AX73</f>
        <v>0</v>
      </c>
      <c r="BD73" s="11">
        <f>G73/(100-BE73)*100</f>
        <v>0</v>
      </c>
      <c r="BE73" s="11">
        <v>0</v>
      </c>
      <c r="BF73" s="11">
        <f>73</f>
        <v>73</v>
      </c>
      <c r="BH73" s="11">
        <f>F73*AO73</f>
        <v>0</v>
      </c>
      <c r="BI73" s="11">
        <f>F73*AP73</f>
        <v>0</v>
      </c>
      <c r="BJ73" s="11">
        <f>F73*G73</f>
        <v>0</v>
      </c>
      <c r="BK73" s="11"/>
      <c r="BL73" s="11">
        <v>771</v>
      </c>
      <c r="BW73" s="11">
        <v>12</v>
      </c>
      <c r="BX73" s="3" t="s">
        <v>313</v>
      </c>
    </row>
    <row r="74" spans="1:76" ht="14.5" x14ac:dyDescent="0.35">
      <c r="A74" s="1" t="s">
        <v>314</v>
      </c>
      <c r="B74" s="2" t="s">
        <v>315</v>
      </c>
      <c r="C74" s="81" t="s">
        <v>316</v>
      </c>
      <c r="D74" s="74"/>
      <c r="E74" s="2" t="s">
        <v>162</v>
      </c>
      <c r="F74" s="11">
        <v>161.69999999999999</v>
      </c>
      <c r="G74" s="59">
        <v>0</v>
      </c>
      <c r="H74" s="11">
        <f>F74*G74</f>
        <v>0</v>
      </c>
      <c r="I74" s="11">
        <v>3.9899999999999996E-3</v>
      </c>
      <c r="J74" s="12">
        <v>3.9899999999999996E-3</v>
      </c>
      <c r="Z74" s="11">
        <f>IF(AQ74="5",BJ74,0)</f>
        <v>0</v>
      </c>
      <c r="AB74" s="11">
        <f>IF(AQ74="1",BH74,0)</f>
        <v>0</v>
      </c>
      <c r="AC74" s="11">
        <f>IF(AQ74="1",BI74,0)</f>
        <v>0</v>
      </c>
      <c r="AD74" s="11">
        <f>IF(AQ74="7",BH74,0)</f>
        <v>0</v>
      </c>
      <c r="AE74" s="11">
        <f>IF(AQ74="7",BI74,0)</f>
        <v>0</v>
      </c>
      <c r="AF74" s="11">
        <f>IF(AQ74="2",BH74,0)</f>
        <v>0</v>
      </c>
      <c r="AG74" s="11">
        <f>IF(AQ74="2",BI74,0)</f>
        <v>0</v>
      </c>
      <c r="AH74" s="11">
        <f>IF(AQ74="0",BJ74,0)</f>
        <v>0</v>
      </c>
      <c r="AI74" s="45" t="s">
        <v>21</v>
      </c>
      <c r="AJ74" s="11">
        <f>IF(AN74=0,H74,0)</f>
        <v>0</v>
      </c>
      <c r="AK74" s="11">
        <f>IF(AN74=12,H74,0)</f>
        <v>0</v>
      </c>
      <c r="AL74" s="11">
        <f>IF(AN74=21,H74,0)</f>
        <v>0</v>
      </c>
      <c r="AN74" s="11">
        <v>12</v>
      </c>
      <c r="AO74" s="11">
        <f>G74*0.320469945</f>
        <v>0</v>
      </c>
      <c r="AP74" s="11">
        <f>G74*(1-0.320469945)</f>
        <v>0</v>
      </c>
      <c r="AQ74" s="60" t="s">
        <v>189</v>
      </c>
      <c r="AV74" s="11">
        <f>AW74+AX74</f>
        <v>0</v>
      </c>
      <c r="AW74" s="11">
        <f>F74*AO74</f>
        <v>0</v>
      </c>
      <c r="AX74" s="11">
        <f>F74*AP74</f>
        <v>0</v>
      </c>
      <c r="AY74" s="60" t="s">
        <v>309</v>
      </c>
      <c r="AZ74" s="60" t="s">
        <v>310</v>
      </c>
      <c r="BA74" s="45" t="s">
        <v>165</v>
      </c>
      <c r="BC74" s="11">
        <f>AW74+AX74</f>
        <v>0</v>
      </c>
      <c r="BD74" s="11">
        <f>G74/(100-BE74)*100</f>
        <v>0</v>
      </c>
      <c r="BE74" s="11">
        <v>0</v>
      </c>
      <c r="BF74" s="11">
        <f>74</f>
        <v>74</v>
      </c>
      <c r="BH74" s="11">
        <f>F74*AO74</f>
        <v>0</v>
      </c>
      <c r="BI74" s="11">
        <f>F74*AP74</f>
        <v>0</v>
      </c>
      <c r="BJ74" s="11">
        <f>F74*G74</f>
        <v>0</v>
      </c>
      <c r="BK74" s="11"/>
      <c r="BL74" s="11">
        <v>771</v>
      </c>
      <c r="BW74" s="11">
        <v>12</v>
      </c>
      <c r="BX74" s="3" t="s">
        <v>316</v>
      </c>
    </row>
    <row r="75" spans="1:76" ht="13.5" customHeight="1" x14ac:dyDescent="0.35">
      <c r="A75" s="66"/>
      <c r="B75" s="67" t="s">
        <v>175</v>
      </c>
      <c r="C75" s="165" t="s">
        <v>317</v>
      </c>
      <c r="D75" s="166"/>
      <c r="E75" s="166"/>
      <c r="F75" s="166"/>
      <c r="G75" s="167"/>
      <c r="H75" s="166"/>
      <c r="I75" s="166"/>
      <c r="J75" s="168"/>
    </row>
    <row r="76" spans="1:76" ht="14.5" x14ac:dyDescent="0.35">
      <c r="A76" s="1" t="s">
        <v>318</v>
      </c>
      <c r="B76" s="2" t="s">
        <v>319</v>
      </c>
      <c r="C76" s="81" t="s">
        <v>320</v>
      </c>
      <c r="D76" s="74"/>
      <c r="E76" s="2" t="s">
        <v>162</v>
      </c>
      <c r="F76" s="11">
        <v>161.69999999999999</v>
      </c>
      <c r="G76" s="59">
        <v>0</v>
      </c>
      <c r="H76" s="11">
        <f>F76*G76</f>
        <v>0</v>
      </c>
      <c r="I76" s="11">
        <v>2.1000000000000001E-4</v>
      </c>
      <c r="J76" s="12">
        <v>2.1000000000000001E-4</v>
      </c>
      <c r="Z76" s="11">
        <f>IF(AQ76="5",BJ76,0)</f>
        <v>0</v>
      </c>
      <c r="AB76" s="11">
        <f>IF(AQ76="1",BH76,0)</f>
        <v>0</v>
      </c>
      <c r="AC76" s="11">
        <f>IF(AQ76="1",BI76,0)</f>
        <v>0</v>
      </c>
      <c r="AD76" s="11">
        <f>IF(AQ76="7",BH76,0)</f>
        <v>0</v>
      </c>
      <c r="AE76" s="11">
        <f>IF(AQ76="7",BI76,0)</f>
        <v>0</v>
      </c>
      <c r="AF76" s="11">
        <f>IF(AQ76="2",BH76,0)</f>
        <v>0</v>
      </c>
      <c r="AG76" s="11">
        <f>IF(AQ76="2",BI76,0)</f>
        <v>0</v>
      </c>
      <c r="AH76" s="11">
        <f>IF(AQ76="0",BJ76,0)</f>
        <v>0</v>
      </c>
      <c r="AI76" s="45" t="s">
        <v>21</v>
      </c>
      <c r="AJ76" s="11">
        <f>IF(AN76=0,H76,0)</f>
        <v>0</v>
      </c>
      <c r="AK76" s="11">
        <f>IF(AN76=12,H76,0)</f>
        <v>0</v>
      </c>
      <c r="AL76" s="11">
        <f>IF(AN76=21,H76,0)</f>
        <v>0</v>
      </c>
      <c r="AN76" s="11">
        <v>12</v>
      </c>
      <c r="AO76" s="11">
        <f>G76*0.447130435</f>
        <v>0</v>
      </c>
      <c r="AP76" s="11">
        <f>G76*(1-0.447130435)</f>
        <v>0</v>
      </c>
      <c r="AQ76" s="60" t="s">
        <v>189</v>
      </c>
      <c r="AV76" s="11">
        <f>AW76+AX76</f>
        <v>0</v>
      </c>
      <c r="AW76" s="11">
        <f>F76*AO76</f>
        <v>0</v>
      </c>
      <c r="AX76" s="11">
        <f>F76*AP76</f>
        <v>0</v>
      </c>
      <c r="AY76" s="60" t="s">
        <v>309</v>
      </c>
      <c r="AZ76" s="60" t="s">
        <v>310</v>
      </c>
      <c r="BA76" s="45" t="s">
        <v>165</v>
      </c>
      <c r="BC76" s="11">
        <f>AW76+AX76</f>
        <v>0</v>
      </c>
      <c r="BD76" s="11">
        <f>G76/(100-BE76)*100</f>
        <v>0</v>
      </c>
      <c r="BE76" s="11">
        <v>0</v>
      </c>
      <c r="BF76" s="11">
        <f>76</f>
        <v>76</v>
      </c>
      <c r="BH76" s="11">
        <f>F76*AO76</f>
        <v>0</v>
      </c>
      <c r="BI76" s="11">
        <f>F76*AP76</f>
        <v>0</v>
      </c>
      <c r="BJ76" s="11">
        <f>F76*G76</f>
        <v>0</v>
      </c>
      <c r="BK76" s="11"/>
      <c r="BL76" s="11">
        <v>771</v>
      </c>
      <c r="BW76" s="11">
        <v>12</v>
      </c>
      <c r="BX76" s="3" t="s">
        <v>320</v>
      </c>
    </row>
    <row r="77" spans="1:76" ht="14.5" x14ac:dyDescent="0.35">
      <c r="A77" s="1" t="s">
        <v>321</v>
      </c>
      <c r="B77" s="2" t="s">
        <v>322</v>
      </c>
      <c r="C77" s="81" t="s">
        <v>323</v>
      </c>
      <c r="D77" s="74"/>
      <c r="E77" s="2" t="s">
        <v>174</v>
      </c>
      <c r="F77" s="11">
        <v>139</v>
      </c>
      <c r="G77" s="59">
        <v>0</v>
      </c>
      <c r="H77" s="11">
        <f>F77*G77</f>
        <v>0</v>
      </c>
      <c r="I77" s="11">
        <v>4.0000000000000003E-5</v>
      </c>
      <c r="J77" s="12">
        <v>4.0000000000000003E-5</v>
      </c>
      <c r="Z77" s="11">
        <f>IF(AQ77="5",BJ77,0)</f>
        <v>0</v>
      </c>
      <c r="AB77" s="11">
        <f>IF(AQ77="1",BH77,0)</f>
        <v>0</v>
      </c>
      <c r="AC77" s="11">
        <f>IF(AQ77="1",BI77,0)</f>
        <v>0</v>
      </c>
      <c r="AD77" s="11">
        <f>IF(AQ77="7",BH77,0)</f>
        <v>0</v>
      </c>
      <c r="AE77" s="11">
        <f>IF(AQ77="7",BI77,0)</f>
        <v>0</v>
      </c>
      <c r="AF77" s="11">
        <f>IF(AQ77="2",BH77,0)</f>
        <v>0</v>
      </c>
      <c r="AG77" s="11">
        <f>IF(AQ77="2",BI77,0)</f>
        <v>0</v>
      </c>
      <c r="AH77" s="11">
        <f>IF(AQ77="0",BJ77,0)</f>
        <v>0</v>
      </c>
      <c r="AI77" s="45" t="s">
        <v>21</v>
      </c>
      <c r="AJ77" s="11">
        <f>IF(AN77=0,H77,0)</f>
        <v>0</v>
      </c>
      <c r="AK77" s="11">
        <f>IF(AN77=12,H77,0)</f>
        <v>0</v>
      </c>
      <c r="AL77" s="11">
        <f>IF(AN77=21,H77,0)</f>
        <v>0</v>
      </c>
      <c r="AN77" s="11">
        <v>12</v>
      </c>
      <c r="AO77" s="11">
        <f>G77*0.470182121</f>
        <v>0</v>
      </c>
      <c r="AP77" s="11">
        <f>G77*(1-0.470182121)</f>
        <v>0</v>
      </c>
      <c r="AQ77" s="60" t="s">
        <v>189</v>
      </c>
      <c r="AV77" s="11">
        <f>AW77+AX77</f>
        <v>0</v>
      </c>
      <c r="AW77" s="11">
        <f>F77*AO77</f>
        <v>0</v>
      </c>
      <c r="AX77" s="11">
        <f>F77*AP77</f>
        <v>0</v>
      </c>
      <c r="AY77" s="60" t="s">
        <v>309</v>
      </c>
      <c r="AZ77" s="60" t="s">
        <v>310</v>
      </c>
      <c r="BA77" s="45" t="s">
        <v>165</v>
      </c>
      <c r="BC77" s="11">
        <f>AW77+AX77</f>
        <v>0</v>
      </c>
      <c r="BD77" s="11">
        <f>G77/(100-BE77)*100</f>
        <v>0</v>
      </c>
      <c r="BE77" s="11">
        <v>0</v>
      </c>
      <c r="BF77" s="11">
        <f>77</f>
        <v>77</v>
      </c>
      <c r="BH77" s="11">
        <f>F77*AO77</f>
        <v>0</v>
      </c>
      <c r="BI77" s="11">
        <f>F77*AP77</f>
        <v>0</v>
      </c>
      <c r="BJ77" s="11">
        <f>F77*G77</f>
        <v>0</v>
      </c>
      <c r="BK77" s="11"/>
      <c r="BL77" s="11">
        <v>771</v>
      </c>
      <c r="BW77" s="11">
        <v>12</v>
      </c>
      <c r="BX77" s="3" t="s">
        <v>323</v>
      </c>
    </row>
    <row r="78" spans="1:76" ht="14.5" x14ac:dyDescent="0.35">
      <c r="A78" s="1" t="s">
        <v>324</v>
      </c>
      <c r="B78" s="2" t="s">
        <v>325</v>
      </c>
      <c r="C78" s="81" t="s">
        <v>326</v>
      </c>
      <c r="D78" s="74"/>
      <c r="E78" s="2" t="s">
        <v>174</v>
      </c>
      <c r="F78" s="11">
        <v>139</v>
      </c>
      <c r="G78" s="59">
        <v>0</v>
      </c>
      <c r="H78" s="11">
        <f>F78*G78</f>
        <v>0</v>
      </c>
      <c r="I78" s="11">
        <v>0</v>
      </c>
      <c r="J78" s="12">
        <v>0</v>
      </c>
      <c r="Z78" s="11">
        <f>IF(AQ78="5",BJ78,0)</f>
        <v>0</v>
      </c>
      <c r="AB78" s="11">
        <f>IF(AQ78="1",BH78,0)</f>
        <v>0</v>
      </c>
      <c r="AC78" s="11">
        <f>IF(AQ78="1",BI78,0)</f>
        <v>0</v>
      </c>
      <c r="AD78" s="11">
        <f>IF(AQ78="7",BH78,0)</f>
        <v>0</v>
      </c>
      <c r="AE78" s="11">
        <f>IF(AQ78="7",BI78,0)</f>
        <v>0</v>
      </c>
      <c r="AF78" s="11">
        <f>IF(AQ78="2",BH78,0)</f>
        <v>0</v>
      </c>
      <c r="AG78" s="11">
        <f>IF(AQ78="2",BI78,0)</f>
        <v>0</v>
      </c>
      <c r="AH78" s="11">
        <f>IF(AQ78="0",BJ78,0)</f>
        <v>0</v>
      </c>
      <c r="AI78" s="45" t="s">
        <v>21</v>
      </c>
      <c r="AJ78" s="11">
        <f>IF(AN78=0,H78,0)</f>
        <v>0</v>
      </c>
      <c r="AK78" s="11">
        <f>IF(AN78=12,H78,0)</f>
        <v>0</v>
      </c>
      <c r="AL78" s="11">
        <f>IF(AN78=21,H78,0)</f>
        <v>0</v>
      </c>
      <c r="AN78" s="11">
        <v>12</v>
      </c>
      <c r="AO78" s="11">
        <f>G78*0.048376068</f>
        <v>0</v>
      </c>
      <c r="AP78" s="11">
        <f>G78*(1-0.048376068)</f>
        <v>0</v>
      </c>
      <c r="AQ78" s="60" t="s">
        <v>189</v>
      </c>
      <c r="AV78" s="11">
        <f>AW78+AX78</f>
        <v>0</v>
      </c>
      <c r="AW78" s="11">
        <f>F78*AO78</f>
        <v>0</v>
      </c>
      <c r="AX78" s="11">
        <f>F78*AP78</f>
        <v>0</v>
      </c>
      <c r="AY78" s="60" t="s">
        <v>309</v>
      </c>
      <c r="AZ78" s="60" t="s">
        <v>310</v>
      </c>
      <c r="BA78" s="45" t="s">
        <v>165</v>
      </c>
      <c r="BC78" s="11">
        <f>AW78+AX78</f>
        <v>0</v>
      </c>
      <c r="BD78" s="11">
        <f>G78/(100-BE78)*100</f>
        <v>0</v>
      </c>
      <c r="BE78" s="11">
        <v>0</v>
      </c>
      <c r="BF78" s="11">
        <f>78</f>
        <v>78</v>
      </c>
      <c r="BH78" s="11">
        <f>F78*AO78</f>
        <v>0</v>
      </c>
      <c r="BI78" s="11">
        <f>F78*AP78</f>
        <v>0</v>
      </c>
      <c r="BJ78" s="11">
        <f>F78*G78</f>
        <v>0</v>
      </c>
      <c r="BK78" s="11"/>
      <c r="BL78" s="11">
        <v>771</v>
      </c>
      <c r="BW78" s="11">
        <v>12</v>
      </c>
      <c r="BX78" s="3" t="s">
        <v>326</v>
      </c>
    </row>
    <row r="79" spans="1:76" ht="14.5" x14ac:dyDescent="0.35">
      <c r="A79" s="1" t="s">
        <v>327</v>
      </c>
      <c r="B79" s="2" t="s">
        <v>328</v>
      </c>
      <c r="C79" s="81" t="s">
        <v>329</v>
      </c>
      <c r="D79" s="74"/>
      <c r="E79" s="2" t="s">
        <v>174</v>
      </c>
      <c r="F79" s="11">
        <v>139</v>
      </c>
      <c r="G79" s="59">
        <v>0</v>
      </c>
      <c r="H79" s="11">
        <f>F79*G79</f>
        <v>0</v>
      </c>
      <c r="I79" s="11">
        <v>4.0999999999999999E-4</v>
      </c>
      <c r="J79" s="12">
        <v>4.0999999999999999E-4</v>
      </c>
      <c r="Z79" s="11">
        <f>IF(AQ79="5",BJ79,0)</f>
        <v>0</v>
      </c>
      <c r="AB79" s="11">
        <f>IF(AQ79="1",BH79,0)</f>
        <v>0</v>
      </c>
      <c r="AC79" s="11">
        <f>IF(AQ79="1",BI79,0)</f>
        <v>0</v>
      </c>
      <c r="AD79" s="11">
        <f>IF(AQ79="7",BH79,0)</f>
        <v>0</v>
      </c>
      <c r="AE79" s="11">
        <f>IF(AQ79="7",BI79,0)</f>
        <v>0</v>
      </c>
      <c r="AF79" s="11">
        <f>IF(AQ79="2",BH79,0)</f>
        <v>0</v>
      </c>
      <c r="AG79" s="11">
        <f>IF(AQ79="2",BI79,0)</f>
        <v>0</v>
      </c>
      <c r="AH79" s="11">
        <f>IF(AQ79="0",BJ79,0)</f>
        <v>0</v>
      </c>
      <c r="AI79" s="45" t="s">
        <v>21</v>
      </c>
      <c r="AJ79" s="11">
        <f>IF(AN79=0,H79,0)</f>
        <v>0</v>
      </c>
      <c r="AK79" s="11">
        <f>IF(AN79=12,H79,0)</f>
        <v>0</v>
      </c>
      <c r="AL79" s="11">
        <f>IF(AN79=21,H79,0)</f>
        <v>0</v>
      </c>
      <c r="AN79" s="11">
        <v>12</v>
      </c>
      <c r="AO79" s="11">
        <f>G79*0.166869806</f>
        <v>0</v>
      </c>
      <c r="AP79" s="11">
        <f>G79*(1-0.166869806)</f>
        <v>0</v>
      </c>
      <c r="AQ79" s="60" t="s">
        <v>189</v>
      </c>
      <c r="AV79" s="11">
        <f>AW79+AX79</f>
        <v>0</v>
      </c>
      <c r="AW79" s="11">
        <f>F79*AO79</f>
        <v>0</v>
      </c>
      <c r="AX79" s="11">
        <f>F79*AP79</f>
        <v>0</v>
      </c>
      <c r="AY79" s="60" t="s">
        <v>309</v>
      </c>
      <c r="AZ79" s="60" t="s">
        <v>310</v>
      </c>
      <c r="BA79" s="45" t="s">
        <v>165</v>
      </c>
      <c r="BC79" s="11">
        <f>AW79+AX79</f>
        <v>0</v>
      </c>
      <c r="BD79" s="11">
        <f>G79/(100-BE79)*100</f>
        <v>0</v>
      </c>
      <c r="BE79" s="11">
        <v>0</v>
      </c>
      <c r="BF79" s="11">
        <f>79</f>
        <v>79</v>
      </c>
      <c r="BH79" s="11">
        <f>F79*AO79</f>
        <v>0</v>
      </c>
      <c r="BI79" s="11">
        <f>F79*AP79</f>
        <v>0</v>
      </c>
      <c r="BJ79" s="11">
        <f>F79*G79</f>
        <v>0</v>
      </c>
      <c r="BK79" s="11"/>
      <c r="BL79" s="11">
        <v>771</v>
      </c>
      <c r="BW79" s="11">
        <v>12</v>
      </c>
      <c r="BX79" s="3" t="s">
        <v>329</v>
      </c>
    </row>
    <row r="80" spans="1:76" ht="13.5" customHeight="1" x14ac:dyDescent="0.35">
      <c r="A80" s="66"/>
      <c r="B80" s="67" t="s">
        <v>175</v>
      </c>
      <c r="C80" s="165" t="s">
        <v>317</v>
      </c>
      <c r="D80" s="166"/>
      <c r="E80" s="166"/>
      <c r="F80" s="166"/>
      <c r="G80" s="167"/>
      <c r="H80" s="166"/>
      <c r="I80" s="166"/>
      <c r="J80" s="168"/>
    </row>
    <row r="81" spans="1:76" ht="14.5" x14ac:dyDescent="0.35">
      <c r="A81" s="1" t="s">
        <v>330</v>
      </c>
      <c r="B81" s="2" t="s">
        <v>42</v>
      </c>
      <c r="C81" s="81" t="s">
        <v>331</v>
      </c>
      <c r="D81" s="74"/>
      <c r="E81" s="2" t="s">
        <v>162</v>
      </c>
      <c r="F81" s="11">
        <v>196.92</v>
      </c>
      <c r="G81" s="59">
        <v>0</v>
      </c>
      <c r="H81" s="11">
        <f>F81*G81</f>
        <v>0</v>
      </c>
      <c r="I81" s="11">
        <v>0</v>
      </c>
      <c r="J81" s="12">
        <v>0</v>
      </c>
      <c r="Z81" s="11">
        <f>IF(AQ81="5",BJ81,0)</f>
        <v>0</v>
      </c>
      <c r="AB81" s="11">
        <f>IF(AQ81="1",BH81,0)</f>
        <v>0</v>
      </c>
      <c r="AC81" s="11">
        <f>IF(AQ81="1",BI81,0)</f>
        <v>0</v>
      </c>
      <c r="AD81" s="11">
        <f>IF(AQ81="7",BH81,0)</f>
        <v>0</v>
      </c>
      <c r="AE81" s="11">
        <f>IF(AQ81="7",BI81,0)</f>
        <v>0</v>
      </c>
      <c r="AF81" s="11">
        <f>IF(AQ81="2",BH81,0)</f>
        <v>0</v>
      </c>
      <c r="AG81" s="11">
        <f>IF(AQ81="2",BI81,0)</f>
        <v>0</v>
      </c>
      <c r="AH81" s="11">
        <f>IF(AQ81="0",BJ81,0)</f>
        <v>0</v>
      </c>
      <c r="AI81" s="45" t="s">
        <v>21</v>
      </c>
      <c r="AJ81" s="11">
        <f>IF(AN81=0,H81,0)</f>
        <v>0</v>
      </c>
      <c r="AK81" s="11">
        <f>IF(AN81=12,H81,0)</f>
        <v>0</v>
      </c>
      <c r="AL81" s="11">
        <f>IF(AN81=21,H81,0)</f>
        <v>0</v>
      </c>
      <c r="AN81" s="11">
        <v>12</v>
      </c>
      <c r="AO81" s="11">
        <f>G81*0</f>
        <v>0</v>
      </c>
      <c r="AP81" s="11">
        <f>G81*(1-0)</f>
        <v>0</v>
      </c>
      <c r="AQ81" s="60" t="s">
        <v>189</v>
      </c>
      <c r="AV81" s="11">
        <f>AW81+AX81</f>
        <v>0</v>
      </c>
      <c r="AW81" s="11">
        <f>F81*AO81</f>
        <v>0</v>
      </c>
      <c r="AX81" s="11">
        <f>F81*AP81</f>
        <v>0</v>
      </c>
      <c r="AY81" s="60" t="s">
        <v>309</v>
      </c>
      <c r="AZ81" s="60" t="s">
        <v>310</v>
      </c>
      <c r="BA81" s="45" t="s">
        <v>165</v>
      </c>
      <c r="BC81" s="11">
        <f>AW81+AX81</f>
        <v>0</v>
      </c>
      <c r="BD81" s="11">
        <f>G81/(100-BE81)*100</f>
        <v>0</v>
      </c>
      <c r="BE81" s="11">
        <v>0</v>
      </c>
      <c r="BF81" s="11">
        <f>81</f>
        <v>81</v>
      </c>
      <c r="BH81" s="11">
        <f>F81*AO81</f>
        <v>0</v>
      </c>
      <c r="BI81" s="11">
        <f>F81*AP81</f>
        <v>0</v>
      </c>
      <c r="BJ81" s="11">
        <f>F81*G81</f>
        <v>0</v>
      </c>
      <c r="BK81" s="11"/>
      <c r="BL81" s="11">
        <v>771</v>
      </c>
      <c r="BW81" s="11">
        <v>12</v>
      </c>
      <c r="BX81" s="3" t="s">
        <v>331</v>
      </c>
    </row>
    <row r="82" spans="1:76" ht="14.5" x14ac:dyDescent="0.35">
      <c r="A82" s="1" t="s">
        <v>332</v>
      </c>
      <c r="B82" s="2" t="s">
        <v>333</v>
      </c>
      <c r="C82" s="81" t="s">
        <v>334</v>
      </c>
      <c r="D82" s="74"/>
      <c r="E82" s="2" t="s">
        <v>121</v>
      </c>
      <c r="F82" s="11">
        <v>3356.0313000000001</v>
      </c>
      <c r="G82" s="59">
        <v>0</v>
      </c>
      <c r="H82" s="11">
        <f>F82*G82</f>
        <v>0</v>
      </c>
      <c r="I82" s="11">
        <v>0</v>
      </c>
      <c r="J82" s="12">
        <v>0</v>
      </c>
      <c r="Z82" s="11">
        <f>IF(AQ82="5",BJ82,0)</f>
        <v>0</v>
      </c>
      <c r="AB82" s="11">
        <f>IF(AQ82="1",BH82,0)</f>
        <v>0</v>
      </c>
      <c r="AC82" s="11">
        <f>IF(AQ82="1",BI82,0)</f>
        <v>0</v>
      </c>
      <c r="AD82" s="11">
        <f>IF(AQ82="7",BH82,0)</f>
        <v>0</v>
      </c>
      <c r="AE82" s="11">
        <f>IF(AQ82="7",BI82,0)</f>
        <v>0</v>
      </c>
      <c r="AF82" s="11">
        <f>IF(AQ82="2",BH82,0)</f>
        <v>0</v>
      </c>
      <c r="AG82" s="11">
        <f>IF(AQ82="2",BI82,0)</f>
        <v>0</v>
      </c>
      <c r="AH82" s="11">
        <f>IF(AQ82="0",BJ82,0)</f>
        <v>0</v>
      </c>
      <c r="AI82" s="45" t="s">
        <v>21</v>
      </c>
      <c r="AJ82" s="11">
        <f>IF(AN82=0,H82,0)</f>
        <v>0</v>
      </c>
      <c r="AK82" s="11">
        <f>IF(AN82=12,H82,0)</f>
        <v>0</v>
      </c>
      <c r="AL82" s="11">
        <f>IF(AN82=21,H82,0)</f>
        <v>0</v>
      </c>
      <c r="AN82" s="11">
        <v>12</v>
      </c>
      <c r="AO82" s="11">
        <f>G82*0</f>
        <v>0</v>
      </c>
      <c r="AP82" s="11">
        <f>G82*(1-0)</f>
        <v>0</v>
      </c>
      <c r="AQ82" s="60" t="s">
        <v>180</v>
      </c>
      <c r="AV82" s="11">
        <f>AW82+AX82</f>
        <v>0</v>
      </c>
      <c r="AW82" s="11">
        <f>F82*AO82</f>
        <v>0</v>
      </c>
      <c r="AX82" s="11">
        <f>F82*AP82</f>
        <v>0</v>
      </c>
      <c r="AY82" s="60" t="s">
        <v>309</v>
      </c>
      <c r="AZ82" s="60" t="s">
        <v>310</v>
      </c>
      <c r="BA82" s="45" t="s">
        <v>165</v>
      </c>
      <c r="BC82" s="11">
        <f>AW82+AX82</f>
        <v>0</v>
      </c>
      <c r="BD82" s="11">
        <f>G82/(100-BE82)*100</f>
        <v>0</v>
      </c>
      <c r="BE82" s="11">
        <v>0</v>
      </c>
      <c r="BF82" s="11">
        <f>82</f>
        <v>82</v>
      </c>
      <c r="BH82" s="11">
        <f>F82*AO82</f>
        <v>0</v>
      </c>
      <c r="BI82" s="11">
        <f>F82*AP82</f>
        <v>0</v>
      </c>
      <c r="BJ82" s="11">
        <f>F82*G82</f>
        <v>0</v>
      </c>
      <c r="BK82" s="11"/>
      <c r="BL82" s="11">
        <v>771</v>
      </c>
      <c r="BW82" s="11">
        <v>12</v>
      </c>
      <c r="BX82" s="3" t="s">
        <v>334</v>
      </c>
    </row>
    <row r="83" spans="1:76" ht="14.5" x14ac:dyDescent="0.35">
      <c r="A83" s="61" t="s">
        <v>21</v>
      </c>
      <c r="B83" s="62" t="s">
        <v>44</v>
      </c>
      <c r="C83" s="163" t="s">
        <v>45</v>
      </c>
      <c r="D83" s="164"/>
      <c r="E83" s="63" t="s">
        <v>13</v>
      </c>
      <c r="F83" s="63" t="s">
        <v>13</v>
      </c>
      <c r="G83" s="64" t="s">
        <v>13</v>
      </c>
      <c r="H83" s="40">
        <f>SUM(H84:H84)</f>
        <v>0</v>
      </c>
      <c r="I83" s="45" t="s">
        <v>21</v>
      </c>
      <c r="J83" s="65" t="s">
        <v>21</v>
      </c>
      <c r="AI83" s="45" t="s">
        <v>21</v>
      </c>
      <c r="AS83" s="40">
        <f>SUM(AJ84:AJ84)</f>
        <v>0</v>
      </c>
      <c r="AT83" s="40">
        <f>SUM(AK84:AK84)</f>
        <v>0</v>
      </c>
      <c r="AU83" s="40">
        <f>SUM(AL84:AL84)</f>
        <v>0</v>
      </c>
    </row>
    <row r="84" spans="1:76" ht="14.5" x14ac:dyDescent="0.35">
      <c r="A84" s="1" t="s">
        <v>335</v>
      </c>
      <c r="B84" s="2" t="s">
        <v>336</v>
      </c>
      <c r="C84" s="81" t="s">
        <v>337</v>
      </c>
      <c r="D84" s="74"/>
      <c r="E84" s="2" t="s">
        <v>338</v>
      </c>
      <c r="F84" s="11">
        <v>3</v>
      </c>
      <c r="G84" s="59">
        <v>0</v>
      </c>
      <c r="H84" s="11">
        <f>F84*G84</f>
        <v>0</v>
      </c>
      <c r="I84" s="11">
        <v>0</v>
      </c>
      <c r="J84" s="12">
        <v>0</v>
      </c>
      <c r="Z84" s="11">
        <f>IF(AQ84="5",BJ84,0)</f>
        <v>0</v>
      </c>
      <c r="AB84" s="11">
        <f>IF(AQ84="1",BH84,0)</f>
        <v>0</v>
      </c>
      <c r="AC84" s="11">
        <f>IF(AQ84="1",BI84,0)</f>
        <v>0</v>
      </c>
      <c r="AD84" s="11">
        <f>IF(AQ84="7",BH84,0)</f>
        <v>0</v>
      </c>
      <c r="AE84" s="11">
        <f>IF(AQ84="7",BI84,0)</f>
        <v>0</v>
      </c>
      <c r="AF84" s="11">
        <f>IF(AQ84="2",BH84,0)</f>
        <v>0</v>
      </c>
      <c r="AG84" s="11">
        <f>IF(AQ84="2",BI84,0)</f>
        <v>0</v>
      </c>
      <c r="AH84" s="11">
        <f>IF(AQ84="0",BJ84,0)</f>
        <v>0</v>
      </c>
      <c r="AI84" s="45" t="s">
        <v>21</v>
      </c>
      <c r="AJ84" s="11">
        <f>IF(AN84=0,H84,0)</f>
        <v>0</v>
      </c>
      <c r="AK84" s="11">
        <f>IF(AN84=12,H84,0)</f>
        <v>0</v>
      </c>
      <c r="AL84" s="11">
        <f>IF(AN84=21,H84,0)</f>
        <v>0</v>
      </c>
      <c r="AN84" s="11">
        <v>12</v>
      </c>
      <c r="AO84" s="11">
        <f>G84*0</f>
        <v>0</v>
      </c>
      <c r="AP84" s="11">
        <f>G84*(1-0)</f>
        <v>0</v>
      </c>
      <c r="AQ84" s="60" t="s">
        <v>189</v>
      </c>
      <c r="AV84" s="11">
        <f>AW84+AX84</f>
        <v>0</v>
      </c>
      <c r="AW84" s="11">
        <f>F84*AO84</f>
        <v>0</v>
      </c>
      <c r="AX84" s="11">
        <f>F84*AP84</f>
        <v>0</v>
      </c>
      <c r="AY84" s="60" t="s">
        <v>339</v>
      </c>
      <c r="AZ84" s="60" t="s">
        <v>340</v>
      </c>
      <c r="BA84" s="45" t="s">
        <v>165</v>
      </c>
      <c r="BC84" s="11">
        <f>AW84+AX84</f>
        <v>0</v>
      </c>
      <c r="BD84" s="11">
        <f>G84/(100-BE84)*100</f>
        <v>0</v>
      </c>
      <c r="BE84" s="11">
        <v>0</v>
      </c>
      <c r="BF84" s="11">
        <f>84</f>
        <v>84</v>
      </c>
      <c r="BH84" s="11">
        <f>F84*AO84</f>
        <v>0</v>
      </c>
      <c r="BI84" s="11">
        <f>F84*AP84</f>
        <v>0</v>
      </c>
      <c r="BJ84" s="11">
        <f>F84*G84</f>
        <v>0</v>
      </c>
      <c r="BK84" s="11"/>
      <c r="BL84" s="11">
        <v>783</v>
      </c>
      <c r="BW84" s="11">
        <v>12</v>
      </c>
      <c r="BX84" s="3" t="s">
        <v>337</v>
      </c>
    </row>
    <row r="85" spans="1:76" ht="14.5" x14ac:dyDescent="0.35">
      <c r="A85" s="61" t="s">
        <v>21</v>
      </c>
      <c r="B85" s="62" t="s">
        <v>46</v>
      </c>
      <c r="C85" s="163" t="s">
        <v>47</v>
      </c>
      <c r="D85" s="164"/>
      <c r="E85" s="63" t="s">
        <v>13</v>
      </c>
      <c r="F85" s="63" t="s">
        <v>13</v>
      </c>
      <c r="G85" s="64" t="s">
        <v>13</v>
      </c>
      <c r="H85" s="40">
        <f>SUM(H86:H93)</f>
        <v>0</v>
      </c>
      <c r="I85" s="45" t="s">
        <v>21</v>
      </c>
      <c r="J85" s="65" t="s">
        <v>21</v>
      </c>
      <c r="AI85" s="45" t="s">
        <v>21</v>
      </c>
      <c r="AS85" s="40">
        <f>SUM(AJ86:AJ93)</f>
        <v>0</v>
      </c>
      <c r="AT85" s="40">
        <f>SUM(AK86:AK93)</f>
        <v>0</v>
      </c>
      <c r="AU85" s="40">
        <f>SUM(AL86:AL93)</f>
        <v>0</v>
      </c>
    </row>
    <row r="86" spans="1:76" ht="14.5" x14ac:dyDescent="0.35">
      <c r="A86" s="1" t="s">
        <v>341</v>
      </c>
      <c r="B86" s="2" t="s">
        <v>342</v>
      </c>
      <c r="C86" s="81" t="s">
        <v>343</v>
      </c>
      <c r="D86" s="74"/>
      <c r="E86" s="2" t="s">
        <v>162</v>
      </c>
      <c r="F86" s="11">
        <v>961.4</v>
      </c>
      <c r="G86" s="59">
        <v>0</v>
      </c>
      <c r="H86" s="11">
        <f>F86*G86</f>
        <v>0</v>
      </c>
      <c r="I86" s="11">
        <v>0</v>
      </c>
      <c r="J86" s="12">
        <v>8.9999999999999998E-4</v>
      </c>
      <c r="Z86" s="11">
        <f>IF(AQ86="5",BJ86,0)</f>
        <v>0</v>
      </c>
      <c r="AB86" s="11">
        <f>IF(AQ86="1",BH86,0)</f>
        <v>0</v>
      </c>
      <c r="AC86" s="11">
        <f>IF(AQ86="1",BI86,0)</f>
        <v>0</v>
      </c>
      <c r="AD86" s="11">
        <f>IF(AQ86="7",BH86,0)</f>
        <v>0</v>
      </c>
      <c r="AE86" s="11">
        <f>IF(AQ86="7",BI86,0)</f>
        <v>0</v>
      </c>
      <c r="AF86" s="11">
        <f>IF(AQ86="2",BH86,0)</f>
        <v>0</v>
      </c>
      <c r="AG86" s="11">
        <f>IF(AQ86="2",BI86,0)</f>
        <v>0</v>
      </c>
      <c r="AH86" s="11">
        <f>IF(AQ86="0",BJ86,0)</f>
        <v>0</v>
      </c>
      <c r="AI86" s="45" t="s">
        <v>21</v>
      </c>
      <c r="AJ86" s="11">
        <f>IF(AN86=0,H86,0)</f>
        <v>0</v>
      </c>
      <c r="AK86" s="11">
        <f>IF(AN86=12,H86,0)</f>
        <v>0</v>
      </c>
      <c r="AL86" s="11">
        <f>IF(AN86=21,H86,0)</f>
        <v>0</v>
      </c>
      <c r="AN86" s="11">
        <v>12</v>
      </c>
      <c r="AO86" s="11">
        <f>G86*0.002320675</f>
        <v>0</v>
      </c>
      <c r="AP86" s="11">
        <f>G86*(1-0.002320675)</f>
        <v>0</v>
      </c>
      <c r="AQ86" s="60" t="s">
        <v>189</v>
      </c>
      <c r="AV86" s="11">
        <f>AW86+AX86</f>
        <v>0</v>
      </c>
      <c r="AW86" s="11">
        <f>F86*AO86</f>
        <v>0</v>
      </c>
      <c r="AX86" s="11">
        <f>F86*AP86</f>
        <v>0</v>
      </c>
      <c r="AY86" s="60" t="s">
        <v>344</v>
      </c>
      <c r="AZ86" s="60" t="s">
        <v>340</v>
      </c>
      <c r="BA86" s="45" t="s">
        <v>165</v>
      </c>
      <c r="BC86" s="11">
        <f>AW86+AX86</f>
        <v>0</v>
      </c>
      <c r="BD86" s="11">
        <f>G86/(100-BE86)*100</f>
        <v>0</v>
      </c>
      <c r="BE86" s="11">
        <v>0</v>
      </c>
      <c r="BF86" s="11">
        <f>86</f>
        <v>86</v>
      </c>
      <c r="BH86" s="11">
        <f>F86*AO86</f>
        <v>0</v>
      </c>
      <c r="BI86" s="11">
        <f>F86*AP86</f>
        <v>0</v>
      </c>
      <c r="BJ86" s="11">
        <f>F86*G86</f>
        <v>0</v>
      </c>
      <c r="BK86" s="11"/>
      <c r="BL86" s="11">
        <v>784</v>
      </c>
      <c r="BW86" s="11">
        <v>12</v>
      </c>
      <c r="BX86" s="3" t="s">
        <v>343</v>
      </c>
    </row>
    <row r="87" spans="1:76" ht="14.5" x14ac:dyDescent="0.35">
      <c r="A87" s="1" t="s">
        <v>345</v>
      </c>
      <c r="B87" s="2" t="s">
        <v>346</v>
      </c>
      <c r="C87" s="81" t="s">
        <v>347</v>
      </c>
      <c r="D87" s="74"/>
      <c r="E87" s="2" t="s">
        <v>162</v>
      </c>
      <c r="F87" s="11">
        <v>961.4</v>
      </c>
      <c r="G87" s="59">
        <v>0</v>
      </c>
      <c r="H87" s="11">
        <f>F87*G87</f>
        <v>0</v>
      </c>
      <c r="I87" s="11">
        <v>0</v>
      </c>
      <c r="J87" s="12">
        <v>0</v>
      </c>
      <c r="Z87" s="11">
        <f>IF(AQ87="5",BJ87,0)</f>
        <v>0</v>
      </c>
      <c r="AB87" s="11">
        <f>IF(AQ87="1",BH87,0)</f>
        <v>0</v>
      </c>
      <c r="AC87" s="11">
        <f>IF(AQ87="1",BI87,0)</f>
        <v>0</v>
      </c>
      <c r="AD87" s="11">
        <f>IF(AQ87="7",BH87,0)</f>
        <v>0</v>
      </c>
      <c r="AE87" s="11">
        <f>IF(AQ87="7",BI87,0)</f>
        <v>0</v>
      </c>
      <c r="AF87" s="11">
        <f>IF(AQ87="2",BH87,0)</f>
        <v>0</v>
      </c>
      <c r="AG87" s="11">
        <f>IF(AQ87="2",BI87,0)</f>
        <v>0</v>
      </c>
      <c r="AH87" s="11">
        <f>IF(AQ87="0",BJ87,0)</f>
        <v>0</v>
      </c>
      <c r="AI87" s="45" t="s">
        <v>21</v>
      </c>
      <c r="AJ87" s="11">
        <f>IF(AN87=0,H87,0)</f>
        <v>0</v>
      </c>
      <c r="AK87" s="11">
        <f>IF(AN87=12,H87,0)</f>
        <v>0</v>
      </c>
      <c r="AL87" s="11">
        <f>IF(AN87=21,H87,0)</f>
        <v>0</v>
      </c>
      <c r="AN87" s="11">
        <v>12</v>
      </c>
      <c r="AO87" s="11">
        <f>G87*0</f>
        <v>0</v>
      </c>
      <c r="AP87" s="11">
        <f>G87*(1-0)</f>
        <v>0</v>
      </c>
      <c r="AQ87" s="60" t="s">
        <v>189</v>
      </c>
      <c r="AV87" s="11">
        <f>AW87+AX87</f>
        <v>0</v>
      </c>
      <c r="AW87" s="11">
        <f>F87*AO87</f>
        <v>0</v>
      </c>
      <c r="AX87" s="11">
        <f>F87*AP87</f>
        <v>0</v>
      </c>
      <c r="AY87" s="60" t="s">
        <v>344</v>
      </c>
      <c r="AZ87" s="60" t="s">
        <v>340</v>
      </c>
      <c r="BA87" s="45" t="s">
        <v>165</v>
      </c>
      <c r="BC87" s="11">
        <f>AW87+AX87</f>
        <v>0</v>
      </c>
      <c r="BD87" s="11">
        <f>G87/(100-BE87)*100</f>
        <v>0</v>
      </c>
      <c r="BE87" s="11">
        <v>0</v>
      </c>
      <c r="BF87" s="11">
        <f>87</f>
        <v>87</v>
      </c>
      <c r="BH87" s="11">
        <f>F87*AO87</f>
        <v>0</v>
      </c>
      <c r="BI87" s="11">
        <f>F87*AP87</f>
        <v>0</v>
      </c>
      <c r="BJ87" s="11">
        <f>F87*G87</f>
        <v>0</v>
      </c>
      <c r="BK87" s="11"/>
      <c r="BL87" s="11">
        <v>784</v>
      </c>
      <c r="BW87" s="11">
        <v>12</v>
      </c>
      <c r="BX87" s="3" t="s">
        <v>347</v>
      </c>
    </row>
    <row r="88" spans="1:76" ht="14.5" x14ac:dyDescent="0.35">
      <c r="A88" s="1" t="s">
        <v>348</v>
      </c>
      <c r="B88" s="2" t="s">
        <v>349</v>
      </c>
      <c r="C88" s="81" t="s">
        <v>350</v>
      </c>
      <c r="D88" s="74"/>
      <c r="E88" s="2" t="s">
        <v>162</v>
      </c>
      <c r="F88" s="11">
        <v>161.69999999999999</v>
      </c>
      <c r="G88" s="59">
        <v>0</v>
      </c>
      <c r="H88" s="11">
        <f>F88*G88</f>
        <v>0</v>
      </c>
      <c r="I88" s="11">
        <v>3.5E-4</v>
      </c>
      <c r="J88" s="12">
        <v>3.5E-4</v>
      </c>
      <c r="Z88" s="11">
        <f>IF(AQ88="5",BJ88,0)</f>
        <v>0</v>
      </c>
      <c r="AB88" s="11">
        <f>IF(AQ88="1",BH88,0)</f>
        <v>0</v>
      </c>
      <c r="AC88" s="11">
        <f>IF(AQ88="1",BI88,0)</f>
        <v>0</v>
      </c>
      <c r="AD88" s="11">
        <f>IF(AQ88="7",BH88,0)</f>
        <v>0</v>
      </c>
      <c r="AE88" s="11">
        <f>IF(AQ88="7",BI88,0)</f>
        <v>0</v>
      </c>
      <c r="AF88" s="11">
        <f>IF(AQ88="2",BH88,0)</f>
        <v>0</v>
      </c>
      <c r="AG88" s="11">
        <f>IF(AQ88="2",BI88,0)</f>
        <v>0</v>
      </c>
      <c r="AH88" s="11">
        <f>IF(AQ88="0",BJ88,0)</f>
        <v>0</v>
      </c>
      <c r="AI88" s="45" t="s">
        <v>21</v>
      </c>
      <c r="AJ88" s="11">
        <f>IF(AN88=0,H88,0)</f>
        <v>0</v>
      </c>
      <c r="AK88" s="11">
        <f>IF(AN88=12,H88,0)</f>
        <v>0</v>
      </c>
      <c r="AL88" s="11">
        <f>IF(AN88=21,H88,0)</f>
        <v>0</v>
      </c>
      <c r="AN88" s="11">
        <v>12</v>
      </c>
      <c r="AO88" s="11">
        <f>G88*0.600480769</f>
        <v>0</v>
      </c>
      <c r="AP88" s="11">
        <f>G88*(1-0.600480769)</f>
        <v>0</v>
      </c>
      <c r="AQ88" s="60" t="s">
        <v>189</v>
      </c>
      <c r="AV88" s="11">
        <f>AW88+AX88</f>
        <v>0</v>
      </c>
      <c r="AW88" s="11">
        <f>F88*AO88</f>
        <v>0</v>
      </c>
      <c r="AX88" s="11">
        <f>F88*AP88</f>
        <v>0</v>
      </c>
      <c r="AY88" s="60" t="s">
        <v>344</v>
      </c>
      <c r="AZ88" s="60" t="s">
        <v>340</v>
      </c>
      <c r="BA88" s="45" t="s">
        <v>165</v>
      </c>
      <c r="BC88" s="11">
        <f>AW88+AX88</f>
        <v>0</v>
      </c>
      <c r="BD88" s="11">
        <f>G88/(100-BE88)*100</f>
        <v>0</v>
      </c>
      <c r="BE88" s="11">
        <v>0</v>
      </c>
      <c r="BF88" s="11">
        <f>88</f>
        <v>88</v>
      </c>
      <c r="BH88" s="11">
        <f>F88*AO88</f>
        <v>0</v>
      </c>
      <c r="BI88" s="11">
        <f>F88*AP88</f>
        <v>0</v>
      </c>
      <c r="BJ88" s="11">
        <f>F88*G88</f>
        <v>0</v>
      </c>
      <c r="BK88" s="11"/>
      <c r="BL88" s="11">
        <v>784</v>
      </c>
      <c r="BW88" s="11">
        <v>12</v>
      </c>
      <c r="BX88" s="3" t="s">
        <v>350</v>
      </c>
    </row>
    <row r="89" spans="1:76" ht="13.5" customHeight="1" x14ac:dyDescent="0.35">
      <c r="A89" s="66"/>
      <c r="B89" s="67" t="s">
        <v>175</v>
      </c>
      <c r="C89" s="165" t="s">
        <v>351</v>
      </c>
      <c r="D89" s="166"/>
      <c r="E89" s="166"/>
      <c r="F89" s="166"/>
      <c r="G89" s="167"/>
      <c r="H89" s="166"/>
      <c r="I89" s="166"/>
      <c r="J89" s="168"/>
    </row>
    <row r="90" spans="1:76" ht="14.5" x14ac:dyDescent="0.35">
      <c r="A90" s="1" t="s">
        <v>352</v>
      </c>
      <c r="B90" s="2" t="s">
        <v>353</v>
      </c>
      <c r="C90" s="81" t="s">
        <v>354</v>
      </c>
      <c r="D90" s="74"/>
      <c r="E90" s="2" t="s">
        <v>162</v>
      </c>
      <c r="F90" s="11">
        <v>961.4</v>
      </c>
      <c r="G90" s="59">
        <v>0</v>
      </c>
      <c r="H90" s="11">
        <f>F90*G90</f>
        <v>0</v>
      </c>
      <c r="I90" s="11">
        <v>0</v>
      </c>
      <c r="J90" s="12">
        <v>0</v>
      </c>
      <c r="Z90" s="11">
        <f>IF(AQ90="5",BJ90,0)</f>
        <v>0</v>
      </c>
      <c r="AB90" s="11">
        <f>IF(AQ90="1",BH90,0)</f>
        <v>0</v>
      </c>
      <c r="AC90" s="11">
        <f>IF(AQ90="1",BI90,0)</f>
        <v>0</v>
      </c>
      <c r="AD90" s="11">
        <f>IF(AQ90="7",BH90,0)</f>
        <v>0</v>
      </c>
      <c r="AE90" s="11">
        <f>IF(AQ90="7",BI90,0)</f>
        <v>0</v>
      </c>
      <c r="AF90" s="11">
        <f>IF(AQ90="2",BH90,0)</f>
        <v>0</v>
      </c>
      <c r="AG90" s="11">
        <f>IF(AQ90="2",BI90,0)</f>
        <v>0</v>
      </c>
      <c r="AH90" s="11">
        <f>IF(AQ90="0",BJ90,0)</f>
        <v>0</v>
      </c>
      <c r="AI90" s="45" t="s">
        <v>21</v>
      </c>
      <c r="AJ90" s="11">
        <f>IF(AN90=0,H90,0)</f>
        <v>0</v>
      </c>
      <c r="AK90" s="11">
        <f>IF(AN90=12,H90,0)</f>
        <v>0</v>
      </c>
      <c r="AL90" s="11">
        <f>IF(AN90=21,H90,0)</f>
        <v>0</v>
      </c>
      <c r="AN90" s="11">
        <v>12</v>
      </c>
      <c r="AO90" s="11">
        <f>G90*0</f>
        <v>0</v>
      </c>
      <c r="AP90" s="11">
        <f>G90*(1-0)</f>
        <v>0</v>
      </c>
      <c r="AQ90" s="60" t="s">
        <v>189</v>
      </c>
      <c r="AV90" s="11">
        <f>AW90+AX90</f>
        <v>0</v>
      </c>
      <c r="AW90" s="11">
        <f>F90*AO90</f>
        <v>0</v>
      </c>
      <c r="AX90" s="11">
        <f>F90*AP90</f>
        <v>0</v>
      </c>
      <c r="AY90" s="60" t="s">
        <v>344</v>
      </c>
      <c r="AZ90" s="60" t="s">
        <v>340</v>
      </c>
      <c r="BA90" s="45" t="s">
        <v>165</v>
      </c>
      <c r="BC90" s="11">
        <f>AW90+AX90</f>
        <v>0</v>
      </c>
      <c r="BD90" s="11">
        <f>G90/(100-BE90)*100</f>
        <v>0</v>
      </c>
      <c r="BE90" s="11">
        <v>0</v>
      </c>
      <c r="BF90" s="11">
        <f>90</f>
        <v>90</v>
      </c>
      <c r="BH90" s="11">
        <f>F90*AO90</f>
        <v>0</v>
      </c>
      <c r="BI90" s="11">
        <f>F90*AP90</f>
        <v>0</v>
      </c>
      <c r="BJ90" s="11">
        <f>F90*G90</f>
        <v>0</v>
      </c>
      <c r="BK90" s="11"/>
      <c r="BL90" s="11">
        <v>784</v>
      </c>
      <c r="BW90" s="11">
        <v>12</v>
      </c>
      <c r="BX90" s="3" t="s">
        <v>354</v>
      </c>
    </row>
    <row r="91" spans="1:76" ht="14.5" x14ac:dyDescent="0.35">
      <c r="A91" s="1" t="s">
        <v>355</v>
      </c>
      <c r="B91" s="2" t="s">
        <v>356</v>
      </c>
      <c r="C91" s="81" t="s">
        <v>357</v>
      </c>
      <c r="D91" s="74"/>
      <c r="E91" s="2" t="s">
        <v>162</v>
      </c>
      <c r="F91" s="11">
        <v>961.4</v>
      </c>
      <c r="G91" s="59">
        <v>0</v>
      </c>
      <c r="H91" s="11">
        <f>F91*G91</f>
        <v>0</v>
      </c>
      <c r="I91" s="11">
        <v>2.9E-4</v>
      </c>
      <c r="J91" s="12">
        <v>2.9E-4</v>
      </c>
      <c r="Z91" s="11">
        <f>IF(AQ91="5",BJ91,0)</f>
        <v>0</v>
      </c>
      <c r="AB91" s="11">
        <f>IF(AQ91="1",BH91,0)</f>
        <v>0</v>
      </c>
      <c r="AC91" s="11">
        <f>IF(AQ91="1",BI91,0)</f>
        <v>0</v>
      </c>
      <c r="AD91" s="11">
        <f>IF(AQ91="7",BH91,0)</f>
        <v>0</v>
      </c>
      <c r="AE91" s="11">
        <f>IF(AQ91="7",BI91,0)</f>
        <v>0</v>
      </c>
      <c r="AF91" s="11">
        <f>IF(AQ91="2",BH91,0)</f>
        <v>0</v>
      </c>
      <c r="AG91" s="11">
        <f>IF(AQ91="2",BI91,0)</f>
        <v>0</v>
      </c>
      <c r="AH91" s="11">
        <f>IF(AQ91="0",BJ91,0)</f>
        <v>0</v>
      </c>
      <c r="AI91" s="45" t="s">
        <v>21</v>
      </c>
      <c r="AJ91" s="11">
        <f>IF(AN91=0,H91,0)</f>
        <v>0</v>
      </c>
      <c r="AK91" s="11">
        <f>IF(AN91=12,H91,0)</f>
        <v>0</v>
      </c>
      <c r="AL91" s="11">
        <f>IF(AN91=21,H91,0)</f>
        <v>0</v>
      </c>
      <c r="AN91" s="11">
        <v>12</v>
      </c>
      <c r="AO91" s="11">
        <f>G91*0.364839675</f>
        <v>0</v>
      </c>
      <c r="AP91" s="11">
        <f>G91*(1-0.364839675)</f>
        <v>0</v>
      </c>
      <c r="AQ91" s="60" t="s">
        <v>189</v>
      </c>
      <c r="AV91" s="11">
        <f>AW91+AX91</f>
        <v>0</v>
      </c>
      <c r="AW91" s="11">
        <f>F91*AO91</f>
        <v>0</v>
      </c>
      <c r="AX91" s="11">
        <f>F91*AP91</f>
        <v>0</v>
      </c>
      <c r="AY91" s="60" t="s">
        <v>344</v>
      </c>
      <c r="AZ91" s="60" t="s">
        <v>340</v>
      </c>
      <c r="BA91" s="45" t="s">
        <v>165</v>
      </c>
      <c r="BC91" s="11">
        <f>AW91+AX91</f>
        <v>0</v>
      </c>
      <c r="BD91" s="11">
        <f>G91/(100-BE91)*100</f>
        <v>0</v>
      </c>
      <c r="BE91" s="11">
        <v>0</v>
      </c>
      <c r="BF91" s="11">
        <f>91</f>
        <v>91</v>
      </c>
      <c r="BH91" s="11">
        <f>F91*AO91</f>
        <v>0</v>
      </c>
      <c r="BI91" s="11">
        <f>F91*AP91</f>
        <v>0</v>
      </c>
      <c r="BJ91" s="11">
        <f>F91*G91</f>
        <v>0</v>
      </c>
      <c r="BK91" s="11"/>
      <c r="BL91" s="11">
        <v>784</v>
      </c>
      <c r="BW91" s="11">
        <v>12</v>
      </c>
      <c r="BX91" s="3" t="s">
        <v>357</v>
      </c>
    </row>
    <row r="92" spans="1:76" ht="14.5" x14ac:dyDescent="0.35">
      <c r="A92" s="1" t="s">
        <v>358</v>
      </c>
      <c r="B92" s="2" t="s">
        <v>359</v>
      </c>
      <c r="C92" s="81" t="s">
        <v>360</v>
      </c>
      <c r="D92" s="74"/>
      <c r="E92" s="2" t="s">
        <v>162</v>
      </c>
      <c r="F92" s="11">
        <v>961.4</v>
      </c>
      <c r="G92" s="59">
        <v>0</v>
      </c>
      <c r="H92" s="11">
        <f>F92*G92</f>
        <v>0</v>
      </c>
      <c r="I92" s="11">
        <v>1.2999999999999999E-4</v>
      </c>
      <c r="J92" s="12">
        <v>1.2999999999999999E-4</v>
      </c>
      <c r="Z92" s="11">
        <f>IF(AQ92="5",BJ92,0)</f>
        <v>0</v>
      </c>
      <c r="AB92" s="11">
        <f>IF(AQ92="1",BH92,0)</f>
        <v>0</v>
      </c>
      <c r="AC92" s="11">
        <f>IF(AQ92="1",BI92,0)</f>
        <v>0</v>
      </c>
      <c r="AD92" s="11">
        <f>IF(AQ92="7",BH92,0)</f>
        <v>0</v>
      </c>
      <c r="AE92" s="11">
        <f>IF(AQ92="7",BI92,0)</f>
        <v>0</v>
      </c>
      <c r="AF92" s="11">
        <f>IF(AQ92="2",BH92,0)</f>
        <v>0</v>
      </c>
      <c r="AG92" s="11">
        <f>IF(AQ92="2",BI92,0)</f>
        <v>0</v>
      </c>
      <c r="AH92" s="11">
        <f>IF(AQ92="0",BJ92,0)</f>
        <v>0</v>
      </c>
      <c r="AI92" s="45" t="s">
        <v>21</v>
      </c>
      <c r="AJ92" s="11">
        <f>IF(AN92=0,H92,0)</f>
        <v>0</v>
      </c>
      <c r="AK92" s="11">
        <f>IF(AN92=12,H92,0)</f>
        <v>0</v>
      </c>
      <c r="AL92" s="11">
        <f>IF(AN92=21,H92,0)</f>
        <v>0</v>
      </c>
      <c r="AN92" s="11">
        <v>12</v>
      </c>
      <c r="AO92" s="11">
        <f>G92*0.462379639</f>
        <v>0</v>
      </c>
      <c r="AP92" s="11">
        <f>G92*(1-0.462379639)</f>
        <v>0</v>
      </c>
      <c r="AQ92" s="60" t="s">
        <v>189</v>
      </c>
      <c r="AV92" s="11">
        <f>AW92+AX92</f>
        <v>0</v>
      </c>
      <c r="AW92" s="11">
        <f>F92*AO92</f>
        <v>0</v>
      </c>
      <c r="AX92" s="11">
        <f>F92*AP92</f>
        <v>0</v>
      </c>
      <c r="AY92" s="60" t="s">
        <v>344</v>
      </c>
      <c r="AZ92" s="60" t="s">
        <v>340</v>
      </c>
      <c r="BA92" s="45" t="s">
        <v>165</v>
      </c>
      <c r="BC92" s="11">
        <f>AW92+AX92</f>
        <v>0</v>
      </c>
      <c r="BD92" s="11">
        <f>G92/(100-BE92)*100</f>
        <v>0</v>
      </c>
      <c r="BE92" s="11">
        <v>0</v>
      </c>
      <c r="BF92" s="11">
        <f>92</f>
        <v>92</v>
      </c>
      <c r="BH92" s="11">
        <f>F92*AO92</f>
        <v>0</v>
      </c>
      <c r="BI92" s="11">
        <f>F92*AP92</f>
        <v>0</v>
      </c>
      <c r="BJ92" s="11">
        <f>F92*G92</f>
        <v>0</v>
      </c>
      <c r="BK92" s="11"/>
      <c r="BL92" s="11">
        <v>784</v>
      </c>
      <c r="BW92" s="11">
        <v>12</v>
      </c>
      <c r="BX92" s="3" t="s">
        <v>360</v>
      </c>
    </row>
    <row r="93" spans="1:76" ht="14.5" x14ac:dyDescent="0.35">
      <c r="A93" s="1" t="s">
        <v>361</v>
      </c>
      <c r="B93" s="2" t="s">
        <v>362</v>
      </c>
      <c r="C93" s="81" t="s">
        <v>363</v>
      </c>
      <c r="D93" s="74"/>
      <c r="E93" s="2" t="s">
        <v>162</v>
      </c>
      <c r="F93" s="11">
        <v>192.28</v>
      </c>
      <c r="G93" s="59">
        <v>0</v>
      </c>
      <c r="H93" s="11">
        <f>F93*G93</f>
        <v>0</v>
      </c>
      <c r="I93" s="11">
        <v>6.0000000000000002E-5</v>
      </c>
      <c r="J93" s="12">
        <v>6.0000000000000002E-5</v>
      </c>
      <c r="Z93" s="11">
        <f>IF(AQ93="5",BJ93,0)</f>
        <v>0</v>
      </c>
      <c r="AB93" s="11">
        <f>IF(AQ93="1",BH93,0)</f>
        <v>0</v>
      </c>
      <c r="AC93" s="11">
        <f>IF(AQ93="1",BI93,0)</f>
        <v>0</v>
      </c>
      <c r="AD93" s="11">
        <f>IF(AQ93="7",BH93,0)</f>
        <v>0</v>
      </c>
      <c r="AE93" s="11">
        <f>IF(AQ93="7",BI93,0)</f>
        <v>0</v>
      </c>
      <c r="AF93" s="11">
        <f>IF(AQ93="2",BH93,0)</f>
        <v>0</v>
      </c>
      <c r="AG93" s="11">
        <f>IF(AQ93="2",BI93,0)</f>
        <v>0</v>
      </c>
      <c r="AH93" s="11">
        <f>IF(AQ93="0",BJ93,0)</f>
        <v>0</v>
      </c>
      <c r="AI93" s="45" t="s">
        <v>21</v>
      </c>
      <c r="AJ93" s="11">
        <f>IF(AN93=0,H93,0)</f>
        <v>0</v>
      </c>
      <c r="AK93" s="11">
        <f>IF(AN93=12,H93,0)</f>
        <v>0</v>
      </c>
      <c r="AL93" s="11">
        <f>IF(AN93=21,H93,0)</f>
        <v>0</v>
      </c>
      <c r="AN93" s="11">
        <v>12</v>
      </c>
      <c r="AO93" s="11">
        <f>G93*0.054615385</f>
        <v>0</v>
      </c>
      <c r="AP93" s="11">
        <f>G93*(1-0.054615385)</f>
        <v>0</v>
      </c>
      <c r="AQ93" s="60" t="s">
        <v>189</v>
      </c>
      <c r="AV93" s="11">
        <f>AW93+AX93</f>
        <v>0</v>
      </c>
      <c r="AW93" s="11">
        <f>F93*AO93</f>
        <v>0</v>
      </c>
      <c r="AX93" s="11">
        <f>F93*AP93</f>
        <v>0</v>
      </c>
      <c r="AY93" s="60" t="s">
        <v>344</v>
      </c>
      <c r="AZ93" s="60" t="s">
        <v>340</v>
      </c>
      <c r="BA93" s="45" t="s">
        <v>165</v>
      </c>
      <c r="BC93" s="11">
        <f>AW93+AX93</f>
        <v>0</v>
      </c>
      <c r="BD93" s="11">
        <f>G93/(100-BE93)*100</f>
        <v>0</v>
      </c>
      <c r="BE93" s="11">
        <v>0</v>
      </c>
      <c r="BF93" s="11">
        <f>93</f>
        <v>93</v>
      </c>
      <c r="BH93" s="11">
        <f>F93*AO93</f>
        <v>0</v>
      </c>
      <c r="BI93" s="11">
        <f>F93*AP93</f>
        <v>0</v>
      </c>
      <c r="BJ93" s="11">
        <f>F93*G93</f>
        <v>0</v>
      </c>
      <c r="BK93" s="11"/>
      <c r="BL93" s="11">
        <v>784</v>
      </c>
      <c r="BW93" s="11">
        <v>12</v>
      </c>
      <c r="BX93" s="3" t="s">
        <v>363</v>
      </c>
    </row>
    <row r="94" spans="1:76" ht="14.5" x14ac:dyDescent="0.35">
      <c r="A94" s="61" t="s">
        <v>21</v>
      </c>
      <c r="B94" s="62" t="s">
        <v>48</v>
      </c>
      <c r="C94" s="163" t="s">
        <v>49</v>
      </c>
      <c r="D94" s="164"/>
      <c r="E94" s="63" t="s">
        <v>13</v>
      </c>
      <c r="F94" s="63" t="s">
        <v>13</v>
      </c>
      <c r="G94" s="64" t="s">
        <v>13</v>
      </c>
      <c r="H94" s="40">
        <f>SUM(H95:H95)</f>
        <v>0</v>
      </c>
      <c r="I94" s="45" t="s">
        <v>21</v>
      </c>
      <c r="J94" s="65" t="s">
        <v>21</v>
      </c>
      <c r="AI94" s="45" t="s">
        <v>21</v>
      </c>
      <c r="AS94" s="40">
        <f>SUM(AJ95:AJ95)</f>
        <v>0</v>
      </c>
      <c r="AT94" s="40">
        <f>SUM(AK95:AK95)</f>
        <v>0</v>
      </c>
      <c r="AU94" s="40">
        <f>SUM(AL95:AL95)</f>
        <v>0</v>
      </c>
    </row>
    <row r="95" spans="1:76" ht="14.5" x14ac:dyDescent="0.35">
      <c r="A95" s="1" t="s">
        <v>364</v>
      </c>
      <c r="B95" s="2" t="s">
        <v>365</v>
      </c>
      <c r="C95" s="81" t="s">
        <v>366</v>
      </c>
      <c r="D95" s="74"/>
      <c r="E95" s="2" t="s">
        <v>162</v>
      </c>
      <c r="F95" s="11">
        <v>161.69999999999999</v>
      </c>
      <c r="G95" s="59">
        <v>0</v>
      </c>
      <c r="H95" s="11">
        <f>F95*G95</f>
        <v>0</v>
      </c>
      <c r="I95" s="11">
        <v>0</v>
      </c>
      <c r="J95" s="12">
        <v>0</v>
      </c>
      <c r="Z95" s="11">
        <f>IF(AQ95="5",BJ95,0)</f>
        <v>0</v>
      </c>
      <c r="AB95" s="11">
        <f>IF(AQ95="1",BH95,0)</f>
        <v>0</v>
      </c>
      <c r="AC95" s="11">
        <f>IF(AQ95="1",BI95,0)</f>
        <v>0</v>
      </c>
      <c r="AD95" s="11">
        <f>IF(AQ95="7",BH95,0)</f>
        <v>0</v>
      </c>
      <c r="AE95" s="11">
        <f>IF(AQ95="7",BI95,0)</f>
        <v>0</v>
      </c>
      <c r="AF95" s="11">
        <f>IF(AQ95="2",BH95,0)</f>
        <v>0</v>
      </c>
      <c r="AG95" s="11">
        <f>IF(AQ95="2",BI95,0)</f>
        <v>0</v>
      </c>
      <c r="AH95" s="11">
        <f>IF(AQ95="0",BJ95,0)</f>
        <v>0</v>
      </c>
      <c r="AI95" s="45" t="s">
        <v>21</v>
      </c>
      <c r="AJ95" s="11">
        <f>IF(AN95=0,H95,0)</f>
        <v>0</v>
      </c>
      <c r="AK95" s="11">
        <f>IF(AN95=12,H95,0)</f>
        <v>0</v>
      </c>
      <c r="AL95" s="11">
        <f>IF(AN95=21,H95,0)</f>
        <v>0</v>
      </c>
      <c r="AN95" s="11">
        <v>12</v>
      </c>
      <c r="AO95" s="11">
        <f>G95*0.352318341</f>
        <v>0</v>
      </c>
      <c r="AP95" s="11">
        <f>G95*(1-0.352318341)</f>
        <v>0</v>
      </c>
      <c r="AQ95" s="60" t="s">
        <v>159</v>
      </c>
      <c r="AV95" s="11">
        <f>AW95+AX95</f>
        <v>0</v>
      </c>
      <c r="AW95" s="11">
        <f>F95*AO95</f>
        <v>0</v>
      </c>
      <c r="AX95" s="11">
        <f>F95*AP95</f>
        <v>0</v>
      </c>
      <c r="AY95" s="60" t="s">
        <v>367</v>
      </c>
      <c r="AZ95" s="60" t="s">
        <v>368</v>
      </c>
      <c r="BA95" s="45" t="s">
        <v>165</v>
      </c>
      <c r="BC95" s="11">
        <f>AW95+AX95</f>
        <v>0</v>
      </c>
      <c r="BD95" s="11">
        <f>G95/(100-BE95)*100</f>
        <v>0</v>
      </c>
      <c r="BE95" s="11">
        <v>0</v>
      </c>
      <c r="BF95" s="11">
        <f>95</f>
        <v>95</v>
      </c>
      <c r="BH95" s="11">
        <f>F95*AO95</f>
        <v>0</v>
      </c>
      <c r="BI95" s="11">
        <f>F95*AP95</f>
        <v>0</v>
      </c>
      <c r="BJ95" s="11">
        <f>F95*G95</f>
        <v>0</v>
      </c>
      <c r="BK95" s="11"/>
      <c r="BL95" s="11">
        <v>93</v>
      </c>
      <c r="BW95" s="11">
        <v>12</v>
      </c>
      <c r="BX95" s="3" t="s">
        <v>366</v>
      </c>
    </row>
    <row r="96" spans="1:76" ht="14.5" x14ac:dyDescent="0.35">
      <c r="A96" s="61" t="s">
        <v>21</v>
      </c>
      <c r="B96" s="62" t="s">
        <v>50</v>
      </c>
      <c r="C96" s="163" t="s">
        <v>51</v>
      </c>
      <c r="D96" s="164"/>
      <c r="E96" s="63" t="s">
        <v>13</v>
      </c>
      <c r="F96" s="63" t="s">
        <v>13</v>
      </c>
      <c r="G96" s="64" t="s">
        <v>13</v>
      </c>
      <c r="H96" s="40">
        <f>SUM(H97:H97)</f>
        <v>0</v>
      </c>
      <c r="I96" s="45" t="s">
        <v>21</v>
      </c>
      <c r="J96" s="65" t="s">
        <v>21</v>
      </c>
      <c r="AI96" s="45" t="s">
        <v>21</v>
      </c>
      <c r="AS96" s="40">
        <f>SUM(AJ97:AJ97)</f>
        <v>0</v>
      </c>
      <c r="AT96" s="40">
        <f>SUM(AK97:AK97)</f>
        <v>0</v>
      </c>
      <c r="AU96" s="40">
        <f>SUM(AL97:AL97)</f>
        <v>0</v>
      </c>
    </row>
    <row r="97" spans="1:76" ht="14.5" x14ac:dyDescent="0.35">
      <c r="A97" s="1" t="s">
        <v>369</v>
      </c>
      <c r="B97" s="2" t="s">
        <v>370</v>
      </c>
      <c r="C97" s="81" t="s">
        <v>371</v>
      </c>
      <c r="D97" s="74"/>
      <c r="E97" s="2" t="s">
        <v>162</v>
      </c>
      <c r="F97" s="11">
        <v>161.69999999999999</v>
      </c>
      <c r="G97" s="59">
        <v>0</v>
      </c>
      <c r="H97" s="11">
        <f>F97*G97</f>
        <v>0</v>
      </c>
      <c r="I97" s="11">
        <v>6.3400000000000001E-3</v>
      </c>
      <c r="J97" s="12">
        <v>6.3400000000000001E-3</v>
      </c>
      <c r="Z97" s="11">
        <f>IF(AQ97="5",BJ97,0)</f>
        <v>0</v>
      </c>
      <c r="AB97" s="11">
        <f>IF(AQ97="1",BH97,0)</f>
        <v>0</v>
      </c>
      <c r="AC97" s="11">
        <f>IF(AQ97="1",BI97,0)</f>
        <v>0</v>
      </c>
      <c r="AD97" s="11">
        <f>IF(AQ97="7",BH97,0)</f>
        <v>0</v>
      </c>
      <c r="AE97" s="11">
        <f>IF(AQ97="7",BI97,0)</f>
        <v>0</v>
      </c>
      <c r="AF97" s="11">
        <f>IF(AQ97="2",BH97,0)</f>
        <v>0</v>
      </c>
      <c r="AG97" s="11">
        <f>IF(AQ97="2",BI97,0)</f>
        <v>0</v>
      </c>
      <c r="AH97" s="11">
        <f>IF(AQ97="0",BJ97,0)</f>
        <v>0</v>
      </c>
      <c r="AI97" s="45" t="s">
        <v>21</v>
      </c>
      <c r="AJ97" s="11">
        <f>IF(AN97=0,H97,0)</f>
        <v>0</v>
      </c>
      <c r="AK97" s="11">
        <f>IF(AN97=12,H97,0)</f>
        <v>0</v>
      </c>
      <c r="AL97" s="11">
        <f>IF(AN97=21,H97,0)</f>
        <v>0</v>
      </c>
      <c r="AN97" s="11">
        <v>12</v>
      </c>
      <c r="AO97" s="11">
        <f>G97*0.372407526</f>
        <v>0</v>
      </c>
      <c r="AP97" s="11">
        <f>G97*(1-0.372407526)</f>
        <v>0</v>
      </c>
      <c r="AQ97" s="60" t="s">
        <v>159</v>
      </c>
      <c r="AV97" s="11">
        <f>AW97+AX97</f>
        <v>0</v>
      </c>
      <c r="AW97" s="11">
        <f>F97*AO97</f>
        <v>0</v>
      </c>
      <c r="AX97" s="11">
        <f>F97*AP97</f>
        <v>0</v>
      </c>
      <c r="AY97" s="60" t="s">
        <v>372</v>
      </c>
      <c r="AZ97" s="60" t="s">
        <v>368</v>
      </c>
      <c r="BA97" s="45" t="s">
        <v>165</v>
      </c>
      <c r="BC97" s="11">
        <f>AW97+AX97</f>
        <v>0</v>
      </c>
      <c r="BD97" s="11">
        <f>G97/(100-BE97)*100</f>
        <v>0</v>
      </c>
      <c r="BE97" s="11">
        <v>0</v>
      </c>
      <c r="BF97" s="11">
        <f>97</f>
        <v>97</v>
      </c>
      <c r="BH97" s="11">
        <f>F97*AO97</f>
        <v>0</v>
      </c>
      <c r="BI97" s="11">
        <f>F97*AP97</f>
        <v>0</v>
      </c>
      <c r="BJ97" s="11">
        <f>F97*G97</f>
        <v>0</v>
      </c>
      <c r="BK97" s="11"/>
      <c r="BL97" s="11">
        <v>94</v>
      </c>
      <c r="BW97" s="11">
        <v>12</v>
      </c>
      <c r="BX97" s="3" t="s">
        <v>371</v>
      </c>
    </row>
    <row r="98" spans="1:76" ht="14.5" x14ac:dyDescent="0.35">
      <c r="A98" s="61" t="s">
        <v>21</v>
      </c>
      <c r="B98" s="62" t="s">
        <v>52</v>
      </c>
      <c r="C98" s="163" t="s">
        <v>53</v>
      </c>
      <c r="D98" s="164"/>
      <c r="E98" s="63" t="s">
        <v>13</v>
      </c>
      <c r="F98" s="63" t="s">
        <v>13</v>
      </c>
      <c r="G98" s="64" t="s">
        <v>13</v>
      </c>
      <c r="H98" s="40">
        <f>SUM(H99:H103)</f>
        <v>0</v>
      </c>
      <c r="I98" s="45" t="s">
        <v>21</v>
      </c>
      <c r="J98" s="65" t="s">
        <v>21</v>
      </c>
      <c r="AI98" s="45" t="s">
        <v>21</v>
      </c>
      <c r="AS98" s="40">
        <f>SUM(AJ99:AJ103)</f>
        <v>0</v>
      </c>
      <c r="AT98" s="40">
        <f>SUM(AK99:AK103)</f>
        <v>0</v>
      </c>
      <c r="AU98" s="40">
        <f>SUM(AL99:AL103)</f>
        <v>0</v>
      </c>
    </row>
    <row r="99" spans="1:76" ht="14.5" x14ac:dyDescent="0.35">
      <c r="A99" s="1" t="s">
        <v>373</v>
      </c>
      <c r="B99" s="2" t="s">
        <v>374</v>
      </c>
      <c r="C99" s="81" t="s">
        <v>375</v>
      </c>
      <c r="D99" s="74"/>
      <c r="E99" s="2" t="s">
        <v>162</v>
      </c>
      <c r="F99" s="11">
        <v>161.69999999999999</v>
      </c>
      <c r="G99" s="59">
        <v>0</v>
      </c>
      <c r="H99" s="11">
        <f>F99*G99</f>
        <v>0</v>
      </c>
      <c r="I99" s="11">
        <v>4.0000000000000003E-5</v>
      </c>
      <c r="J99" s="12">
        <v>4.0000000000000003E-5</v>
      </c>
      <c r="Z99" s="11">
        <f>IF(AQ99="5",BJ99,0)</f>
        <v>0</v>
      </c>
      <c r="AB99" s="11">
        <f>IF(AQ99="1",BH99,0)</f>
        <v>0</v>
      </c>
      <c r="AC99" s="11">
        <f>IF(AQ99="1",BI99,0)</f>
        <v>0</v>
      </c>
      <c r="AD99" s="11">
        <f>IF(AQ99="7",BH99,0)</f>
        <v>0</v>
      </c>
      <c r="AE99" s="11">
        <f>IF(AQ99="7",BI99,0)</f>
        <v>0</v>
      </c>
      <c r="AF99" s="11">
        <f>IF(AQ99="2",BH99,0)</f>
        <v>0</v>
      </c>
      <c r="AG99" s="11">
        <f>IF(AQ99="2",BI99,0)</f>
        <v>0</v>
      </c>
      <c r="AH99" s="11">
        <f>IF(AQ99="0",BJ99,0)</f>
        <v>0</v>
      </c>
      <c r="AI99" s="45" t="s">
        <v>21</v>
      </c>
      <c r="AJ99" s="11">
        <f>IF(AN99=0,H99,0)</f>
        <v>0</v>
      </c>
      <c r="AK99" s="11">
        <f>IF(AN99=12,H99,0)</f>
        <v>0</v>
      </c>
      <c r="AL99" s="11">
        <f>IF(AN99=21,H99,0)</f>
        <v>0</v>
      </c>
      <c r="AN99" s="11">
        <v>12</v>
      </c>
      <c r="AO99" s="11">
        <f>G99*0.014522293</f>
        <v>0</v>
      </c>
      <c r="AP99" s="11">
        <f>G99*(1-0.014522293)</f>
        <v>0</v>
      </c>
      <c r="AQ99" s="60" t="s">
        <v>159</v>
      </c>
      <c r="AV99" s="11">
        <f>AW99+AX99</f>
        <v>0</v>
      </c>
      <c r="AW99" s="11">
        <f>F99*AO99</f>
        <v>0</v>
      </c>
      <c r="AX99" s="11">
        <f>F99*AP99</f>
        <v>0</v>
      </c>
      <c r="AY99" s="60" t="s">
        <v>376</v>
      </c>
      <c r="AZ99" s="60" t="s">
        <v>368</v>
      </c>
      <c r="BA99" s="45" t="s">
        <v>165</v>
      </c>
      <c r="BC99" s="11">
        <f>AW99+AX99</f>
        <v>0</v>
      </c>
      <c r="BD99" s="11">
        <f>G99/(100-BE99)*100</f>
        <v>0</v>
      </c>
      <c r="BE99" s="11">
        <v>0</v>
      </c>
      <c r="BF99" s="11">
        <f>99</f>
        <v>99</v>
      </c>
      <c r="BH99" s="11">
        <f>F99*AO99</f>
        <v>0</v>
      </c>
      <c r="BI99" s="11">
        <f>F99*AP99</f>
        <v>0</v>
      </c>
      <c r="BJ99" s="11">
        <f>F99*G99</f>
        <v>0</v>
      </c>
      <c r="BK99" s="11"/>
      <c r="BL99" s="11">
        <v>95</v>
      </c>
      <c r="BW99" s="11">
        <v>12</v>
      </c>
      <c r="BX99" s="3" t="s">
        <v>375</v>
      </c>
    </row>
    <row r="100" spans="1:76" ht="14.5" x14ac:dyDescent="0.35">
      <c r="A100" s="1" t="s">
        <v>377</v>
      </c>
      <c r="B100" s="2" t="s">
        <v>378</v>
      </c>
      <c r="C100" s="81" t="s">
        <v>379</v>
      </c>
      <c r="D100" s="74"/>
      <c r="E100" s="2" t="s">
        <v>294</v>
      </c>
      <c r="F100" s="11">
        <v>1</v>
      </c>
      <c r="G100" s="59">
        <v>0</v>
      </c>
      <c r="H100" s="11">
        <f>F100*G100</f>
        <v>0</v>
      </c>
      <c r="I100" s="11">
        <v>1.0000000000000001E-5</v>
      </c>
      <c r="J100" s="12">
        <v>1.0000000000000001E-5</v>
      </c>
      <c r="Z100" s="11">
        <f>IF(AQ100="5",BJ100,0)</f>
        <v>0</v>
      </c>
      <c r="AB100" s="11">
        <f>IF(AQ100="1",BH100,0)</f>
        <v>0</v>
      </c>
      <c r="AC100" s="11">
        <f>IF(AQ100="1",BI100,0)</f>
        <v>0</v>
      </c>
      <c r="AD100" s="11">
        <f>IF(AQ100="7",BH100,0)</f>
        <v>0</v>
      </c>
      <c r="AE100" s="11">
        <f>IF(AQ100="7",BI100,0)</f>
        <v>0</v>
      </c>
      <c r="AF100" s="11">
        <f>IF(AQ100="2",BH100,0)</f>
        <v>0</v>
      </c>
      <c r="AG100" s="11">
        <f>IF(AQ100="2",BI100,0)</f>
        <v>0</v>
      </c>
      <c r="AH100" s="11">
        <f>IF(AQ100="0",BJ100,0)</f>
        <v>0</v>
      </c>
      <c r="AI100" s="45" t="s">
        <v>21</v>
      </c>
      <c r="AJ100" s="11">
        <f>IF(AN100=0,H100,0)</f>
        <v>0</v>
      </c>
      <c r="AK100" s="11">
        <f>IF(AN100=12,H100,0)</f>
        <v>0</v>
      </c>
      <c r="AL100" s="11">
        <f>IF(AN100=21,H100,0)</f>
        <v>0</v>
      </c>
      <c r="AN100" s="11">
        <v>12</v>
      </c>
      <c r="AO100" s="11">
        <f>G100*0.5800445</f>
        <v>0</v>
      </c>
      <c r="AP100" s="11">
        <f>G100*(1-0.5800445)</f>
        <v>0</v>
      </c>
      <c r="AQ100" s="60" t="s">
        <v>159</v>
      </c>
      <c r="AV100" s="11">
        <f>AW100+AX100</f>
        <v>0</v>
      </c>
      <c r="AW100" s="11">
        <f>F100*AO100</f>
        <v>0</v>
      </c>
      <c r="AX100" s="11">
        <f>F100*AP100</f>
        <v>0</v>
      </c>
      <c r="AY100" s="60" t="s">
        <v>376</v>
      </c>
      <c r="AZ100" s="60" t="s">
        <v>368</v>
      </c>
      <c r="BA100" s="45" t="s">
        <v>165</v>
      </c>
      <c r="BC100" s="11">
        <f>AW100+AX100</f>
        <v>0</v>
      </c>
      <c r="BD100" s="11">
        <f>G100/(100-BE100)*100</f>
        <v>0</v>
      </c>
      <c r="BE100" s="11">
        <v>0</v>
      </c>
      <c r="BF100" s="11">
        <f>100</f>
        <v>100</v>
      </c>
      <c r="BH100" s="11">
        <f>F100*AO100</f>
        <v>0</v>
      </c>
      <c r="BI100" s="11">
        <f>F100*AP100</f>
        <v>0</v>
      </c>
      <c r="BJ100" s="11">
        <f>F100*G100</f>
        <v>0</v>
      </c>
      <c r="BK100" s="11"/>
      <c r="BL100" s="11">
        <v>95</v>
      </c>
      <c r="BW100" s="11">
        <v>12</v>
      </c>
      <c r="BX100" s="3" t="s">
        <v>379</v>
      </c>
    </row>
    <row r="101" spans="1:76" ht="14.5" x14ac:dyDescent="0.35">
      <c r="A101" s="1" t="s">
        <v>22</v>
      </c>
      <c r="B101" s="2" t="s">
        <v>378</v>
      </c>
      <c r="C101" s="81" t="s">
        <v>380</v>
      </c>
      <c r="D101" s="74"/>
      <c r="E101" s="2" t="s">
        <v>381</v>
      </c>
      <c r="F101" s="11">
        <v>60</v>
      </c>
      <c r="G101" s="59">
        <v>0</v>
      </c>
      <c r="H101" s="11">
        <f>F101*G101</f>
        <v>0</v>
      </c>
      <c r="I101" s="11">
        <v>1.0000000000000001E-5</v>
      </c>
      <c r="J101" s="12">
        <v>1.0000000000000001E-5</v>
      </c>
      <c r="Z101" s="11">
        <f>IF(AQ101="5",BJ101,0)</f>
        <v>0</v>
      </c>
      <c r="AB101" s="11">
        <f>IF(AQ101="1",BH101,0)</f>
        <v>0</v>
      </c>
      <c r="AC101" s="11">
        <f>IF(AQ101="1",BI101,0)</f>
        <v>0</v>
      </c>
      <c r="AD101" s="11">
        <f>IF(AQ101="7",BH101,0)</f>
        <v>0</v>
      </c>
      <c r="AE101" s="11">
        <f>IF(AQ101="7",BI101,0)</f>
        <v>0</v>
      </c>
      <c r="AF101" s="11">
        <f>IF(AQ101="2",BH101,0)</f>
        <v>0</v>
      </c>
      <c r="AG101" s="11">
        <f>IF(AQ101="2",BI101,0)</f>
        <v>0</v>
      </c>
      <c r="AH101" s="11">
        <f>IF(AQ101="0",BJ101,0)</f>
        <v>0</v>
      </c>
      <c r="AI101" s="45" t="s">
        <v>21</v>
      </c>
      <c r="AJ101" s="11">
        <f>IF(AN101=0,H101,0)</f>
        <v>0</v>
      </c>
      <c r="AK101" s="11">
        <f>IF(AN101=12,H101,0)</f>
        <v>0</v>
      </c>
      <c r="AL101" s="11">
        <f>IF(AN101=21,H101,0)</f>
        <v>0</v>
      </c>
      <c r="AN101" s="11">
        <v>12</v>
      </c>
      <c r="AO101" s="11">
        <f>G101*0.019966102</f>
        <v>0</v>
      </c>
      <c r="AP101" s="11">
        <f>G101*(1-0.019966102)</f>
        <v>0</v>
      </c>
      <c r="AQ101" s="60" t="s">
        <v>159</v>
      </c>
      <c r="AV101" s="11">
        <f>AW101+AX101</f>
        <v>0</v>
      </c>
      <c r="AW101" s="11">
        <f>F101*AO101</f>
        <v>0</v>
      </c>
      <c r="AX101" s="11">
        <f>F101*AP101</f>
        <v>0</v>
      </c>
      <c r="AY101" s="60" t="s">
        <v>376</v>
      </c>
      <c r="AZ101" s="60" t="s">
        <v>368</v>
      </c>
      <c r="BA101" s="45" t="s">
        <v>165</v>
      </c>
      <c r="BC101" s="11">
        <f>AW101+AX101</f>
        <v>0</v>
      </c>
      <c r="BD101" s="11">
        <f>G101/(100-BE101)*100</f>
        <v>0</v>
      </c>
      <c r="BE101" s="11">
        <v>0</v>
      </c>
      <c r="BF101" s="11">
        <f>101</f>
        <v>101</v>
      </c>
      <c r="BH101" s="11">
        <f>F101*AO101</f>
        <v>0</v>
      </c>
      <c r="BI101" s="11">
        <f>F101*AP101</f>
        <v>0</v>
      </c>
      <c r="BJ101" s="11">
        <f>F101*G101</f>
        <v>0</v>
      </c>
      <c r="BK101" s="11"/>
      <c r="BL101" s="11">
        <v>95</v>
      </c>
      <c r="BW101" s="11">
        <v>12</v>
      </c>
      <c r="BX101" s="3" t="s">
        <v>380</v>
      </c>
    </row>
    <row r="102" spans="1:76" ht="14.5" x14ac:dyDescent="0.35">
      <c r="A102" s="1" t="s">
        <v>24</v>
      </c>
      <c r="B102" s="2" t="s">
        <v>378</v>
      </c>
      <c r="C102" s="81" t="s">
        <v>382</v>
      </c>
      <c r="D102" s="74"/>
      <c r="E102" s="2" t="s">
        <v>383</v>
      </c>
      <c r="F102" s="11">
        <v>2376</v>
      </c>
      <c r="G102" s="59">
        <v>0</v>
      </c>
      <c r="H102" s="11">
        <f>F102*G102</f>
        <v>0</v>
      </c>
      <c r="I102" s="11">
        <v>1.0000000000000001E-5</v>
      </c>
      <c r="J102" s="12">
        <v>1.0000000000000001E-5</v>
      </c>
      <c r="Z102" s="11">
        <f>IF(AQ102="5",BJ102,0)</f>
        <v>0</v>
      </c>
      <c r="AB102" s="11">
        <f>IF(AQ102="1",BH102,0)</f>
        <v>0</v>
      </c>
      <c r="AC102" s="11">
        <f>IF(AQ102="1",BI102,0)</f>
        <v>0</v>
      </c>
      <c r="AD102" s="11">
        <f>IF(AQ102="7",BH102,0)</f>
        <v>0</v>
      </c>
      <c r="AE102" s="11">
        <f>IF(AQ102="7",BI102,0)</f>
        <v>0</v>
      </c>
      <c r="AF102" s="11">
        <f>IF(AQ102="2",BH102,0)</f>
        <v>0</v>
      </c>
      <c r="AG102" s="11">
        <f>IF(AQ102="2",BI102,0)</f>
        <v>0</v>
      </c>
      <c r="AH102" s="11">
        <f>IF(AQ102="0",BJ102,0)</f>
        <v>0</v>
      </c>
      <c r="AI102" s="45" t="s">
        <v>21</v>
      </c>
      <c r="AJ102" s="11">
        <f>IF(AN102=0,H102,0)</f>
        <v>0</v>
      </c>
      <c r="AK102" s="11">
        <f>IF(AN102=12,H102,0)</f>
        <v>0</v>
      </c>
      <c r="AL102" s="11">
        <f>IF(AN102=21,H102,0)</f>
        <v>0</v>
      </c>
      <c r="AN102" s="11">
        <v>12</v>
      </c>
      <c r="AO102" s="11">
        <f>G102*0.02</f>
        <v>0</v>
      </c>
      <c r="AP102" s="11">
        <f>G102*(1-0.02)</f>
        <v>0</v>
      </c>
      <c r="AQ102" s="60" t="s">
        <v>159</v>
      </c>
      <c r="AV102" s="11">
        <f>AW102+AX102</f>
        <v>0</v>
      </c>
      <c r="AW102" s="11">
        <f>F102*AO102</f>
        <v>0</v>
      </c>
      <c r="AX102" s="11">
        <f>F102*AP102</f>
        <v>0</v>
      </c>
      <c r="AY102" s="60" t="s">
        <v>376</v>
      </c>
      <c r="AZ102" s="60" t="s">
        <v>368</v>
      </c>
      <c r="BA102" s="45" t="s">
        <v>165</v>
      </c>
      <c r="BC102" s="11">
        <f>AW102+AX102</f>
        <v>0</v>
      </c>
      <c r="BD102" s="11">
        <f>G102/(100-BE102)*100</f>
        <v>0</v>
      </c>
      <c r="BE102" s="11">
        <v>0</v>
      </c>
      <c r="BF102" s="11">
        <f>102</f>
        <v>102</v>
      </c>
      <c r="BH102" s="11">
        <f>F102*AO102</f>
        <v>0</v>
      </c>
      <c r="BI102" s="11">
        <f>F102*AP102</f>
        <v>0</v>
      </c>
      <c r="BJ102" s="11">
        <f>F102*G102</f>
        <v>0</v>
      </c>
      <c r="BK102" s="11"/>
      <c r="BL102" s="11">
        <v>95</v>
      </c>
      <c r="BW102" s="11">
        <v>12</v>
      </c>
      <c r="BX102" s="3" t="s">
        <v>382</v>
      </c>
    </row>
    <row r="103" spans="1:76" ht="14.5" x14ac:dyDescent="0.35">
      <c r="A103" s="1" t="s">
        <v>26</v>
      </c>
      <c r="B103" s="2" t="s">
        <v>384</v>
      </c>
      <c r="C103" s="81" t="s">
        <v>385</v>
      </c>
      <c r="D103" s="74"/>
      <c r="E103" s="2" t="s">
        <v>256</v>
      </c>
      <c r="F103" s="11">
        <v>40</v>
      </c>
      <c r="G103" s="59">
        <v>0</v>
      </c>
      <c r="H103" s="11">
        <f>F103*G103</f>
        <v>0</v>
      </c>
      <c r="I103" s="11">
        <v>0</v>
      </c>
      <c r="J103" s="12">
        <v>0</v>
      </c>
      <c r="Z103" s="11">
        <f>IF(AQ103="5",BJ103,0)</f>
        <v>0</v>
      </c>
      <c r="AB103" s="11">
        <f>IF(AQ103="1",BH103,0)</f>
        <v>0</v>
      </c>
      <c r="AC103" s="11">
        <f>IF(AQ103="1",BI103,0)</f>
        <v>0</v>
      </c>
      <c r="AD103" s="11">
        <f>IF(AQ103="7",BH103,0)</f>
        <v>0</v>
      </c>
      <c r="AE103" s="11">
        <f>IF(AQ103="7",BI103,0)</f>
        <v>0</v>
      </c>
      <c r="AF103" s="11">
        <f>IF(AQ103="2",BH103,0)</f>
        <v>0</v>
      </c>
      <c r="AG103" s="11">
        <f>IF(AQ103="2",BI103,0)</f>
        <v>0</v>
      </c>
      <c r="AH103" s="11">
        <f>IF(AQ103="0",BJ103,0)</f>
        <v>0</v>
      </c>
      <c r="AI103" s="45" t="s">
        <v>21</v>
      </c>
      <c r="AJ103" s="11">
        <f>IF(AN103=0,H103,0)</f>
        <v>0</v>
      </c>
      <c r="AK103" s="11">
        <f>IF(AN103=12,H103,0)</f>
        <v>0</v>
      </c>
      <c r="AL103" s="11">
        <f>IF(AN103=21,H103,0)</f>
        <v>0</v>
      </c>
      <c r="AN103" s="11">
        <v>12</v>
      </c>
      <c r="AO103" s="11">
        <f>G103*0</f>
        <v>0</v>
      </c>
      <c r="AP103" s="11">
        <f>G103*(1-0)</f>
        <v>0</v>
      </c>
      <c r="AQ103" s="60" t="s">
        <v>159</v>
      </c>
      <c r="AV103" s="11">
        <f>AW103+AX103</f>
        <v>0</v>
      </c>
      <c r="AW103" s="11">
        <f>F103*AO103</f>
        <v>0</v>
      </c>
      <c r="AX103" s="11">
        <f>F103*AP103</f>
        <v>0</v>
      </c>
      <c r="AY103" s="60" t="s">
        <v>376</v>
      </c>
      <c r="AZ103" s="60" t="s">
        <v>368</v>
      </c>
      <c r="BA103" s="45" t="s">
        <v>165</v>
      </c>
      <c r="BC103" s="11">
        <f>AW103+AX103</f>
        <v>0</v>
      </c>
      <c r="BD103" s="11">
        <f>G103/(100-BE103)*100</f>
        <v>0</v>
      </c>
      <c r="BE103" s="11">
        <v>0</v>
      </c>
      <c r="BF103" s="11">
        <f>103</f>
        <v>103</v>
      </c>
      <c r="BH103" s="11">
        <f>F103*AO103</f>
        <v>0</v>
      </c>
      <c r="BI103" s="11">
        <f>F103*AP103</f>
        <v>0</v>
      </c>
      <c r="BJ103" s="11">
        <f>F103*G103</f>
        <v>0</v>
      </c>
      <c r="BK103" s="11"/>
      <c r="BL103" s="11">
        <v>95</v>
      </c>
      <c r="BW103" s="11">
        <v>12</v>
      </c>
      <c r="BX103" s="3" t="s">
        <v>385</v>
      </c>
    </row>
    <row r="104" spans="1:76" ht="14.5" x14ac:dyDescent="0.35">
      <c r="A104" s="61" t="s">
        <v>21</v>
      </c>
      <c r="B104" s="62" t="s">
        <v>54</v>
      </c>
      <c r="C104" s="163" t="s">
        <v>55</v>
      </c>
      <c r="D104" s="164"/>
      <c r="E104" s="63" t="s">
        <v>13</v>
      </c>
      <c r="F104" s="63" t="s">
        <v>13</v>
      </c>
      <c r="G104" s="64" t="s">
        <v>13</v>
      </c>
      <c r="H104" s="40">
        <f>SUM(H105:H110)</f>
        <v>0</v>
      </c>
      <c r="I104" s="45" t="s">
        <v>21</v>
      </c>
      <c r="J104" s="65" t="s">
        <v>21</v>
      </c>
      <c r="AI104" s="45" t="s">
        <v>21</v>
      </c>
      <c r="AS104" s="40">
        <f>SUM(AJ105:AJ110)</f>
        <v>0</v>
      </c>
      <c r="AT104" s="40">
        <f>SUM(AK105:AK110)</f>
        <v>0</v>
      </c>
      <c r="AU104" s="40">
        <f>SUM(AL105:AL110)</f>
        <v>0</v>
      </c>
    </row>
    <row r="105" spans="1:76" ht="14.5" x14ac:dyDescent="0.35">
      <c r="A105" s="1" t="s">
        <v>28</v>
      </c>
      <c r="B105" s="2" t="s">
        <v>386</v>
      </c>
      <c r="C105" s="81" t="s">
        <v>387</v>
      </c>
      <c r="D105" s="74"/>
      <c r="E105" s="2" t="s">
        <v>162</v>
      </c>
      <c r="F105" s="11">
        <v>161.69999999999999</v>
      </c>
      <c r="G105" s="59">
        <v>0</v>
      </c>
      <c r="H105" s="11">
        <f>F105*G105</f>
        <v>0</v>
      </c>
      <c r="I105" s="11">
        <v>0</v>
      </c>
      <c r="J105" s="12">
        <v>1.26E-2</v>
      </c>
      <c r="Z105" s="11">
        <f>IF(AQ105="5",BJ105,0)</f>
        <v>0</v>
      </c>
      <c r="AB105" s="11">
        <f>IF(AQ105="1",BH105,0)</f>
        <v>0</v>
      </c>
      <c r="AC105" s="11">
        <f>IF(AQ105="1",BI105,0)</f>
        <v>0</v>
      </c>
      <c r="AD105" s="11">
        <f>IF(AQ105="7",BH105,0)</f>
        <v>0</v>
      </c>
      <c r="AE105" s="11">
        <f>IF(AQ105="7",BI105,0)</f>
        <v>0</v>
      </c>
      <c r="AF105" s="11">
        <f>IF(AQ105="2",BH105,0)</f>
        <v>0</v>
      </c>
      <c r="AG105" s="11">
        <f>IF(AQ105="2",BI105,0)</f>
        <v>0</v>
      </c>
      <c r="AH105" s="11">
        <f>IF(AQ105="0",BJ105,0)</f>
        <v>0</v>
      </c>
      <c r="AI105" s="45" t="s">
        <v>21</v>
      </c>
      <c r="AJ105" s="11">
        <f>IF(AN105=0,H105,0)</f>
        <v>0</v>
      </c>
      <c r="AK105" s="11">
        <f>IF(AN105=12,H105,0)</f>
        <v>0</v>
      </c>
      <c r="AL105" s="11">
        <f>IF(AN105=21,H105,0)</f>
        <v>0</v>
      </c>
      <c r="AN105" s="11">
        <v>12</v>
      </c>
      <c r="AO105" s="11">
        <f>G105*0</f>
        <v>0</v>
      </c>
      <c r="AP105" s="11">
        <f>G105*(1-0)</f>
        <v>0</v>
      </c>
      <c r="AQ105" s="60" t="s">
        <v>159</v>
      </c>
      <c r="AV105" s="11">
        <f>AW105+AX105</f>
        <v>0</v>
      </c>
      <c r="AW105" s="11">
        <f>F105*AO105</f>
        <v>0</v>
      </c>
      <c r="AX105" s="11">
        <f>F105*AP105</f>
        <v>0</v>
      </c>
      <c r="AY105" s="60" t="s">
        <v>388</v>
      </c>
      <c r="AZ105" s="60" t="s">
        <v>368</v>
      </c>
      <c r="BA105" s="45" t="s">
        <v>165</v>
      </c>
      <c r="BC105" s="11">
        <f>AW105+AX105</f>
        <v>0</v>
      </c>
      <c r="BD105" s="11">
        <f>G105/(100-BE105)*100</f>
        <v>0</v>
      </c>
      <c r="BE105" s="11">
        <v>0</v>
      </c>
      <c r="BF105" s="11">
        <f>105</f>
        <v>105</v>
      </c>
      <c r="BH105" s="11">
        <f>F105*AO105</f>
        <v>0</v>
      </c>
      <c r="BI105" s="11">
        <f>F105*AP105</f>
        <v>0</v>
      </c>
      <c r="BJ105" s="11">
        <f>F105*G105</f>
        <v>0</v>
      </c>
      <c r="BK105" s="11"/>
      <c r="BL105" s="11">
        <v>96</v>
      </c>
      <c r="BW105" s="11">
        <v>12</v>
      </c>
      <c r="BX105" s="3" t="s">
        <v>387</v>
      </c>
    </row>
    <row r="106" spans="1:76" ht="14.5" x14ac:dyDescent="0.35">
      <c r="A106" s="1" t="s">
        <v>389</v>
      </c>
      <c r="B106" s="2" t="s">
        <v>390</v>
      </c>
      <c r="C106" s="81" t="s">
        <v>391</v>
      </c>
      <c r="D106" s="74"/>
      <c r="E106" s="2" t="s">
        <v>162</v>
      </c>
      <c r="F106" s="11">
        <v>66.7</v>
      </c>
      <c r="G106" s="59">
        <v>0</v>
      </c>
      <c r="H106" s="11">
        <f>F106*G106</f>
        <v>0</v>
      </c>
      <c r="I106" s="11">
        <v>0</v>
      </c>
      <c r="J106" s="12">
        <v>0.02</v>
      </c>
      <c r="Z106" s="11">
        <f>IF(AQ106="5",BJ106,0)</f>
        <v>0</v>
      </c>
      <c r="AB106" s="11">
        <f>IF(AQ106="1",BH106,0)</f>
        <v>0</v>
      </c>
      <c r="AC106" s="11">
        <f>IF(AQ106="1",BI106,0)</f>
        <v>0</v>
      </c>
      <c r="AD106" s="11">
        <f>IF(AQ106="7",BH106,0)</f>
        <v>0</v>
      </c>
      <c r="AE106" s="11">
        <f>IF(AQ106="7",BI106,0)</f>
        <v>0</v>
      </c>
      <c r="AF106" s="11">
        <f>IF(AQ106="2",BH106,0)</f>
        <v>0</v>
      </c>
      <c r="AG106" s="11">
        <f>IF(AQ106="2",BI106,0)</f>
        <v>0</v>
      </c>
      <c r="AH106" s="11">
        <f>IF(AQ106="0",BJ106,0)</f>
        <v>0</v>
      </c>
      <c r="AI106" s="45" t="s">
        <v>21</v>
      </c>
      <c r="AJ106" s="11">
        <f>IF(AN106=0,H106,0)</f>
        <v>0</v>
      </c>
      <c r="AK106" s="11">
        <f>IF(AN106=12,H106,0)</f>
        <v>0</v>
      </c>
      <c r="AL106" s="11">
        <f>IF(AN106=21,H106,0)</f>
        <v>0</v>
      </c>
      <c r="AN106" s="11">
        <v>12</v>
      </c>
      <c r="AO106" s="11">
        <f>G106*0</f>
        <v>0</v>
      </c>
      <c r="AP106" s="11">
        <f>G106*(1-0)</f>
        <v>0</v>
      </c>
      <c r="AQ106" s="60" t="s">
        <v>159</v>
      </c>
      <c r="AV106" s="11">
        <f>AW106+AX106</f>
        <v>0</v>
      </c>
      <c r="AW106" s="11">
        <f>F106*AO106</f>
        <v>0</v>
      </c>
      <c r="AX106" s="11">
        <f>F106*AP106</f>
        <v>0</v>
      </c>
      <c r="AY106" s="60" t="s">
        <v>388</v>
      </c>
      <c r="AZ106" s="60" t="s">
        <v>368</v>
      </c>
      <c r="BA106" s="45" t="s">
        <v>165</v>
      </c>
      <c r="BC106" s="11">
        <f>AW106+AX106</f>
        <v>0</v>
      </c>
      <c r="BD106" s="11">
        <f>G106/(100-BE106)*100</f>
        <v>0</v>
      </c>
      <c r="BE106" s="11">
        <v>0</v>
      </c>
      <c r="BF106" s="11">
        <f>106</f>
        <v>106</v>
      </c>
      <c r="BH106" s="11">
        <f>F106*AO106</f>
        <v>0</v>
      </c>
      <c r="BI106" s="11">
        <f>F106*AP106</f>
        <v>0</v>
      </c>
      <c r="BJ106" s="11">
        <f>F106*G106</f>
        <v>0</v>
      </c>
      <c r="BK106" s="11"/>
      <c r="BL106" s="11">
        <v>96</v>
      </c>
      <c r="BW106" s="11">
        <v>12</v>
      </c>
      <c r="BX106" s="3" t="s">
        <v>391</v>
      </c>
    </row>
    <row r="107" spans="1:76" ht="13.5" customHeight="1" x14ac:dyDescent="0.35">
      <c r="A107" s="66"/>
      <c r="B107" s="67" t="s">
        <v>175</v>
      </c>
      <c r="C107" s="165" t="s">
        <v>392</v>
      </c>
      <c r="D107" s="166"/>
      <c r="E107" s="166"/>
      <c r="F107" s="166"/>
      <c r="G107" s="167"/>
      <c r="H107" s="166"/>
      <c r="I107" s="166"/>
      <c r="J107" s="168"/>
    </row>
    <row r="108" spans="1:76" ht="14.5" x14ac:dyDescent="0.35">
      <c r="A108" s="1" t="s">
        <v>393</v>
      </c>
      <c r="B108" s="2" t="s">
        <v>394</v>
      </c>
      <c r="C108" s="81" t="s">
        <v>395</v>
      </c>
      <c r="D108" s="74"/>
      <c r="E108" s="2" t="s">
        <v>174</v>
      </c>
      <c r="F108" s="11">
        <v>35.96</v>
      </c>
      <c r="G108" s="59">
        <v>0</v>
      </c>
      <c r="H108" s="11">
        <f>F108*G108</f>
        <v>0</v>
      </c>
      <c r="I108" s="11">
        <v>0</v>
      </c>
      <c r="J108" s="12">
        <v>4.0000000000000002E-4</v>
      </c>
      <c r="Z108" s="11">
        <f>IF(AQ108="5",BJ108,0)</f>
        <v>0</v>
      </c>
      <c r="AB108" s="11">
        <f>IF(AQ108="1",BH108,0)</f>
        <v>0</v>
      </c>
      <c r="AC108" s="11">
        <f>IF(AQ108="1",BI108,0)</f>
        <v>0</v>
      </c>
      <c r="AD108" s="11">
        <f>IF(AQ108="7",BH108,0)</f>
        <v>0</v>
      </c>
      <c r="AE108" s="11">
        <f>IF(AQ108="7",BI108,0)</f>
        <v>0</v>
      </c>
      <c r="AF108" s="11">
        <f>IF(AQ108="2",BH108,0)</f>
        <v>0</v>
      </c>
      <c r="AG108" s="11">
        <f>IF(AQ108="2",BI108,0)</f>
        <v>0</v>
      </c>
      <c r="AH108" s="11">
        <f>IF(AQ108="0",BJ108,0)</f>
        <v>0</v>
      </c>
      <c r="AI108" s="45" t="s">
        <v>21</v>
      </c>
      <c r="AJ108" s="11">
        <f>IF(AN108=0,H108,0)</f>
        <v>0</v>
      </c>
      <c r="AK108" s="11">
        <f>IF(AN108=12,H108,0)</f>
        <v>0</v>
      </c>
      <c r="AL108" s="11">
        <f>IF(AN108=21,H108,0)</f>
        <v>0</v>
      </c>
      <c r="AN108" s="11">
        <v>12</v>
      </c>
      <c r="AO108" s="11">
        <f>G108*0</f>
        <v>0</v>
      </c>
      <c r="AP108" s="11">
        <f>G108*(1-0)</f>
        <v>0</v>
      </c>
      <c r="AQ108" s="60" t="s">
        <v>159</v>
      </c>
      <c r="AV108" s="11">
        <f>AW108+AX108</f>
        <v>0</v>
      </c>
      <c r="AW108" s="11">
        <f>F108*AO108</f>
        <v>0</v>
      </c>
      <c r="AX108" s="11">
        <f>F108*AP108</f>
        <v>0</v>
      </c>
      <c r="AY108" s="60" t="s">
        <v>388</v>
      </c>
      <c r="AZ108" s="60" t="s">
        <v>368</v>
      </c>
      <c r="BA108" s="45" t="s">
        <v>165</v>
      </c>
      <c r="BC108" s="11">
        <f>AW108+AX108</f>
        <v>0</v>
      </c>
      <c r="BD108" s="11">
        <f>G108/(100-BE108)*100</f>
        <v>0</v>
      </c>
      <c r="BE108" s="11">
        <v>0</v>
      </c>
      <c r="BF108" s="11">
        <f>108</f>
        <v>108</v>
      </c>
      <c r="BH108" s="11">
        <f>F108*AO108</f>
        <v>0</v>
      </c>
      <c r="BI108" s="11">
        <f>F108*AP108</f>
        <v>0</v>
      </c>
      <c r="BJ108" s="11">
        <f>F108*G108</f>
        <v>0</v>
      </c>
      <c r="BK108" s="11"/>
      <c r="BL108" s="11">
        <v>96</v>
      </c>
      <c r="BW108" s="11">
        <v>12</v>
      </c>
      <c r="BX108" s="3" t="s">
        <v>395</v>
      </c>
    </row>
    <row r="109" spans="1:76" ht="14.5" x14ac:dyDescent="0.35">
      <c r="A109" s="1" t="s">
        <v>396</v>
      </c>
      <c r="B109" s="2" t="s">
        <v>397</v>
      </c>
      <c r="C109" s="81" t="s">
        <v>398</v>
      </c>
      <c r="D109" s="74"/>
      <c r="E109" s="2" t="s">
        <v>162</v>
      </c>
      <c r="F109" s="11">
        <v>2.5</v>
      </c>
      <c r="G109" s="59">
        <v>0</v>
      </c>
      <c r="H109" s="11">
        <f>F109*G109</f>
        <v>0</v>
      </c>
      <c r="I109" s="11">
        <v>1.17E-3</v>
      </c>
      <c r="J109" s="12">
        <v>8.9169999999999999E-2</v>
      </c>
      <c r="Z109" s="11">
        <f>IF(AQ109="5",BJ109,0)</f>
        <v>0</v>
      </c>
      <c r="AB109" s="11">
        <f>IF(AQ109="1",BH109,0)</f>
        <v>0</v>
      </c>
      <c r="AC109" s="11">
        <f>IF(AQ109="1",BI109,0)</f>
        <v>0</v>
      </c>
      <c r="AD109" s="11">
        <f>IF(AQ109="7",BH109,0)</f>
        <v>0</v>
      </c>
      <c r="AE109" s="11">
        <f>IF(AQ109="7",BI109,0)</f>
        <v>0</v>
      </c>
      <c r="AF109" s="11">
        <f>IF(AQ109="2",BH109,0)</f>
        <v>0</v>
      </c>
      <c r="AG109" s="11">
        <f>IF(AQ109="2",BI109,0)</f>
        <v>0</v>
      </c>
      <c r="AH109" s="11">
        <f>IF(AQ109="0",BJ109,0)</f>
        <v>0</v>
      </c>
      <c r="AI109" s="45" t="s">
        <v>21</v>
      </c>
      <c r="AJ109" s="11">
        <f>IF(AN109=0,H109,0)</f>
        <v>0</v>
      </c>
      <c r="AK109" s="11">
        <f>IF(AN109=12,H109,0)</f>
        <v>0</v>
      </c>
      <c r="AL109" s="11">
        <f>IF(AN109=21,H109,0)</f>
        <v>0</v>
      </c>
      <c r="AN109" s="11">
        <v>12</v>
      </c>
      <c r="AO109" s="11">
        <f>G109*0.107115987</f>
        <v>0</v>
      </c>
      <c r="AP109" s="11">
        <f>G109*(1-0.107115987)</f>
        <v>0</v>
      </c>
      <c r="AQ109" s="60" t="s">
        <v>159</v>
      </c>
      <c r="AV109" s="11">
        <f>AW109+AX109</f>
        <v>0</v>
      </c>
      <c r="AW109" s="11">
        <f>F109*AO109</f>
        <v>0</v>
      </c>
      <c r="AX109" s="11">
        <f>F109*AP109</f>
        <v>0</v>
      </c>
      <c r="AY109" s="60" t="s">
        <v>388</v>
      </c>
      <c r="AZ109" s="60" t="s">
        <v>368</v>
      </c>
      <c r="BA109" s="45" t="s">
        <v>165</v>
      </c>
      <c r="BC109" s="11">
        <f>AW109+AX109</f>
        <v>0</v>
      </c>
      <c r="BD109" s="11">
        <f>G109/(100-BE109)*100</f>
        <v>0</v>
      </c>
      <c r="BE109" s="11">
        <v>0</v>
      </c>
      <c r="BF109" s="11">
        <f>109</f>
        <v>109</v>
      </c>
      <c r="BH109" s="11">
        <f>F109*AO109</f>
        <v>0</v>
      </c>
      <c r="BI109" s="11">
        <f>F109*AP109</f>
        <v>0</v>
      </c>
      <c r="BJ109" s="11">
        <f>F109*G109</f>
        <v>0</v>
      </c>
      <c r="BK109" s="11"/>
      <c r="BL109" s="11">
        <v>96</v>
      </c>
      <c r="BW109" s="11">
        <v>12</v>
      </c>
      <c r="BX109" s="3" t="s">
        <v>398</v>
      </c>
    </row>
    <row r="110" spans="1:76" ht="14.5" x14ac:dyDescent="0.35">
      <c r="A110" s="1" t="s">
        <v>399</v>
      </c>
      <c r="B110" s="2" t="s">
        <v>400</v>
      </c>
      <c r="C110" s="81" t="s">
        <v>401</v>
      </c>
      <c r="D110" s="74"/>
      <c r="E110" s="2" t="s">
        <v>402</v>
      </c>
      <c r="F110" s="11">
        <v>2.38</v>
      </c>
      <c r="G110" s="59">
        <v>0</v>
      </c>
      <c r="H110" s="11">
        <f>F110*G110</f>
        <v>0</v>
      </c>
      <c r="I110" s="11">
        <v>0</v>
      </c>
      <c r="J110" s="12">
        <v>2.2000000000000002</v>
      </c>
      <c r="Z110" s="11">
        <f>IF(AQ110="5",BJ110,0)</f>
        <v>0</v>
      </c>
      <c r="AB110" s="11">
        <f>IF(AQ110="1",BH110,0)</f>
        <v>0</v>
      </c>
      <c r="AC110" s="11">
        <f>IF(AQ110="1",BI110,0)</f>
        <v>0</v>
      </c>
      <c r="AD110" s="11">
        <f>IF(AQ110="7",BH110,0)</f>
        <v>0</v>
      </c>
      <c r="AE110" s="11">
        <f>IF(AQ110="7",BI110,0)</f>
        <v>0</v>
      </c>
      <c r="AF110" s="11">
        <f>IF(AQ110="2",BH110,0)</f>
        <v>0</v>
      </c>
      <c r="AG110" s="11">
        <f>IF(AQ110="2",BI110,0)</f>
        <v>0</v>
      </c>
      <c r="AH110" s="11">
        <f>IF(AQ110="0",BJ110,0)</f>
        <v>0</v>
      </c>
      <c r="AI110" s="45" t="s">
        <v>21</v>
      </c>
      <c r="AJ110" s="11">
        <f>IF(AN110=0,H110,0)</f>
        <v>0</v>
      </c>
      <c r="AK110" s="11">
        <f>IF(AN110=12,H110,0)</f>
        <v>0</v>
      </c>
      <c r="AL110" s="11">
        <f>IF(AN110=21,H110,0)</f>
        <v>0</v>
      </c>
      <c r="AN110" s="11">
        <v>12</v>
      </c>
      <c r="AO110" s="11">
        <f>G110*0</f>
        <v>0</v>
      </c>
      <c r="AP110" s="11">
        <f>G110*(1-0)</f>
        <v>0</v>
      </c>
      <c r="AQ110" s="60" t="s">
        <v>159</v>
      </c>
      <c r="AV110" s="11">
        <f>AW110+AX110</f>
        <v>0</v>
      </c>
      <c r="AW110" s="11">
        <f>F110*AO110</f>
        <v>0</v>
      </c>
      <c r="AX110" s="11">
        <f>F110*AP110</f>
        <v>0</v>
      </c>
      <c r="AY110" s="60" t="s">
        <v>388</v>
      </c>
      <c r="AZ110" s="60" t="s">
        <v>368</v>
      </c>
      <c r="BA110" s="45" t="s">
        <v>165</v>
      </c>
      <c r="BC110" s="11">
        <f>AW110+AX110</f>
        <v>0</v>
      </c>
      <c r="BD110" s="11">
        <f>G110/(100-BE110)*100</f>
        <v>0</v>
      </c>
      <c r="BE110" s="11">
        <v>0</v>
      </c>
      <c r="BF110" s="11">
        <f>110</f>
        <v>110</v>
      </c>
      <c r="BH110" s="11">
        <f>F110*AO110</f>
        <v>0</v>
      </c>
      <c r="BI110" s="11">
        <f>F110*AP110</f>
        <v>0</v>
      </c>
      <c r="BJ110" s="11">
        <f>F110*G110</f>
        <v>0</v>
      </c>
      <c r="BK110" s="11"/>
      <c r="BL110" s="11">
        <v>96</v>
      </c>
      <c r="BW110" s="11">
        <v>12</v>
      </c>
      <c r="BX110" s="3" t="s">
        <v>401</v>
      </c>
    </row>
    <row r="111" spans="1:76" ht="13.5" customHeight="1" x14ac:dyDescent="0.35">
      <c r="A111" s="66"/>
      <c r="B111" s="67" t="s">
        <v>175</v>
      </c>
      <c r="C111" s="165" t="s">
        <v>403</v>
      </c>
      <c r="D111" s="166"/>
      <c r="E111" s="166"/>
      <c r="F111" s="166"/>
      <c r="G111" s="167"/>
      <c r="H111" s="166"/>
      <c r="I111" s="166"/>
      <c r="J111" s="168"/>
    </row>
    <row r="112" spans="1:76" ht="14.5" x14ac:dyDescent="0.35">
      <c r="A112" s="61" t="s">
        <v>21</v>
      </c>
      <c r="B112" s="62" t="s">
        <v>56</v>
      </c>
      <c r="C112" s="163" t="s">
        <v>57</v>
      </c>
      <c r="D112" s="164"/>
      <c r="E112" s="63" t="s">
        <v>13</v>
      </c>
      <c r="F112" s="63" t="s">
        <v>13</v>
      </c>
      <c r="G112" s="64" t="s">
        <v>13</v>
      </c>
      <c r="H112" s="40">
        <f>SUM(H113:H113)</f>
        <v>0</v>
      </c>
      <c r="I112" s="45" t="s">
        <v>21</v>
      </c>
      <c r="J112" s="65" t="s">
        <v>21</v>
      </c>
      <c r="AI112" s="45" t="s">
        <v>21</v>
      </c>
      <c r="AS112" s="40">
        <f>SUM(AJ113:AJ113)</f>
        <v>0</v>
      </c>
      <c r="AT112" s="40">
        <f>SUM(AK113:AK113)</f>
        <v>0</v>
      </c>
      <c r="AU112" s="40">
        <f>SUM(AL113:AL113)</f>
        <v>0</v>
      </c>
    </row>
    <row r="113" spans="1:76" ht="14.5" x14ac:dyDescent="0.35">
      <c r="A113" s="1" t="s">
        <v>404</v>
      </c>
      <c r="B113" s="2" t="s">
        <v>405</v>
      </c>
      <c r="C113" s="81" t="s">
        <v>406</v>
      </c>
      <c r="D113" s="74"/>
      <c r="E113" s="2" t="s">
        <v>162</v>
      </c>
      <c r="F113" s="11">
        <v>42.042000000000002</v>
      </c>
      <c r="G113" s="59">
        <v>0</v>
      </c>
      <c r="H113" s="11">
        <f>F113*G113</f>
        <v>0</v>
      </c>
      <c r="I113" s="11">
        <v>0</v>
      </c>
      <c r="J113" s="12">
        <v>9.1999999999999998E-2</v>
      </c>
      <c r="Z113" s="11">
        <f>IF(AQ113="5",BJ113,0)</f>
        <v>0</v>
      </c>
      <c r="AB113" s="11">
        <f>IF(AQ113="1",BH113,0)</f>
        <v>0</v>
      </c>
      <c r="AC113" s="11">
        <f>IF(AQ113="1",BI113,0)</f>
        <v>0</v>
      </c>
      <c r="AD113" s="11">
        <f>IF(AQ113="7",BH113,0)</f>
        <v>0</v>
      </c>
      <c r="AE113" s="11">
        <f>IF(AQ113="7",BI113,0)</f>
        <v>0</v>
      </c>
      <c r="AF113" s="11">
        <f>IF(AQ113="2",BH113,0)</f>
        <v>0</v>
      </c>
      <c r="AG113" s="11">
        <f>IF(AQ113="2",BI113,0)</f>
        <v>0</v>
      </c>
      <c r="AH113" s="11">
        <f>IF(AQ113="0",BJ113,0)</f>
        <v>0</v>
      </c>
      <c r="AI113" s="45" t="s">
        <v>21</v>
      </c>
      <c r="AJ113" s="11">
        <f>IF(AN113=0,H113,0)</f>
        <v>0</v>
      </c>
      <c r="AK113" s="11">
        <f>IF(AN113=12,H113,0)</f>
        <v>0</v>
      </c>
      <c r="AL113" s="11">
        <f>IF(AN113=21,H113,0)</f>
        <v>0</v>
      </c>
      <c r="AN113" s="11">
        <v>12</v>
      </c>
      <c r="AO113" s="11">
        <f>G113*0</f>
        <v>0</v>
      </c>
      <c r="AP113" s="11">
        <f>G113*(1-0)</f>
        <v>0</v>
      </c>
      <c r="AQ113" s="60" t="s">
        <v>159</v>
      </c>
      <c r="AV113" s="11">
        <f>AW113+AX113</f>
        <v>0</v>
      </c>
      <c r="AW113" s="11">
        <f>F113*AO113</f>
        <v>0</v>
      </c>
      <c r="AX113" s="11">
        <f>F113*AP113</f>
        <v>0</v>
      </c>
      <c r="AY113" s="60" t="s">
        <v>407</v>
      </c>
      <c r="AZ113" s="60" t="s">
        <v>368</v>
      </c>
      <c r="BA113" s="45" t="s">
        <v>165</v>
      </c>
      <c r="BC113" s="11">
        <f>AW113+AX113</f>
        <v>0</v>
      </c>
      <c r="BD113" s="11">
        <f>G113/(100-BE113)*100</f>
        <v>0</v>
      </c>
      <c r="BE113" s="11">
        <v>0</v>
      </c>
      <c r="BF113" s="11">
        <f>113</f>
        <v>113</v>
      </c>
      <c r="BH113" s="11">
        <f>F113*AO113</f>
        <v>0</v>
      </c>
      <c r="BI113" s="11">
        <f>F113*AP113</f>
        <v>0</v>
      </c>
      <c r="BJ113" s="11">
        <f>F113*G113</f>
        <v>0</v>
      </c>
      <c r="BK113" s="11"/>
      <c r="BL113" s="11">
        <v>97</v>
      </c>
      <c r="BW113" s="11">
        <v>12</v>
      </c>
      <c r="BX113" s="3" t="s">
        <v>406</v>
      </c>
    </row>
    <row r="114" spans="1:76" ht="13.5" customHeight="1" x14ac:dyDescent="0.35">
      <c r="A114" s="66"/>
      <c r="B114" s="67" t="s">
        <v>175</v>
      </c>
      <c r="C114" s="165" t="s">
        <v>408</v>
      </c>
      <c r="D114" s="166"/>
      <c r="E114" s="166"/>
      <c r="F114" s="166"/>
      <c r="G114" s="167"/>
      <c r="H114" s="166"/>
      <c r="I114" s="166"/>
      <c r="J114" s="168"/>
    </row>
    <row r="115" spans="1:76" ht="14.5" x14ac:dyDescent="0.35">
      <c r="A115" s="61" t="s">
        <v>21</v>
      </c>
      <c r="B115" s="62" t="s">
        <v>58</v>
      </c>
      <c r="C115" s="163" t="s">
        <v>59</v>
      </c>
      <c r="D115" s="164"/>
      <c r="E115" s="63" t="s">
        <v>13</v>
      </c>
      <c r="F115" s="63" t="s">
        <v>13</v>
      </c>
      <c r="G115" s="64" t="s">
        <v>13</v>
      </c>
      <c r="H115" s="40">
        <f>SUM(H116:H116)</f>
        <v>0</v>
      </c>
      <c r="I115" s="45" t="s">
        <v>21</v>
      </c>
      <c r="J115" s="65" t="s">
        <v>21</v>
      </c>
      <c r="AI115" s="45" t="s">
        <v>21</v>
      </c>
      <c r="AS115" s="40">
        <f>SUM(AJ116:AJ116)</f>
        <v>0</v>
      </c>
      <c r="AT115" s="40">
        <f>SUM(AK116:AK116)</f>
        <v>0</v>
      </c>
      <c r="AU115" s="40">
        <f>SUM(AL116:AL116)</f>
        <v>0</v>
      </c>
    </row>
    <row r="116" spans="1:76" ht="14.5" x14ac:dyDescent="0.35">
      <c r="A116" s="1" t="s">
        <v>409</v>
      </c>
      <c r="B116" s="2" t="s">
        <v>410</v>
      </c>
      <c r="C116" s="81" t="s">
        <v>411</v>
      </c>
      <c r="D116" s="74"/>
      <c r="E116" s="2" t="s">
        <v>412</v>
      </c>
      <c r="F116" s="11">
        <v>19.291699999999999</v>
      </c>
      <c r="G116" s="59">
        <v>0</v>
      </c>
      <c r="H116" s="11">
        <f>F116*G116</f>
        <v>0</v>
      </c>
      <c r="I116" s="11">
        <v>0</v>
      </c>
      <c r="J116" s="12">
        <v>0</v>
      </c>
      <c r="Z116" s="11">
        <f>IF(AQ116="5",BJ116,0)</f>
        <v>0</v>
      </c>
      <c r="AB116" s="11">
        <f>IF(AQ116="1",BH116,0)</f>
        <v>0</v>
      </c>
      <c r="AC116" s="11">
        <f>IF(AQ116="1",BI116,0)</f>
        <v>0</v>
      </c>
      <c r="AD116" s="11">
        <f>IF(AQ116="7",BH116,0)</f>
        <v>0</v>
      </c>
      <c r="AE116" s="11">
        <f>IF(AQ116="7",BI116,0)</f>
        <v>0</v>
      </c>
      <c r="AF116" s="11">
        <f>IF(AQ116="2",BH116,0)</f>
        <v>0</v>
      </c>
      <c r="AG116" s="11">
        <f>IF(AQ116="2",BI116,0)</f>
        <v>0</v>
      </c>
      <c r="AH116" s="11">
        <f>IF(AQ116="0",BJ116,0)</f>
        <v>0</v>
      </c>
      <c r="AI116" s="45" t="s">
        <v>21</v>
      </c>
      <c r="AJ116" s="11">
        <f>IF(AN116=0,H116,0)</f>
        <v>0</v>
      </c>
      <c r="AK116" s="11">
        <f>IF(AN116=12,H116,0)</f>
        <v>0</v>
      </c>
      <c r="AL116" s="11">
        <f>IF(AN116=21,H116,0)</f>
        <v>0</v>
      </c>
      <c r="AN116" s="11">
        <v>12</v>
      </c>
      <c r="AO116" s="11">
        <f>G116*0</f>
        <v>0</v>
      </c>
      <c r="AP116" s="11">
        <f>G116*(1-0)</f>
        <v>0</v>
      </c>
      <c r="AQ116" s="60" t="s">
        <v>180</v>
      </c>
      <c r="AV116" s="11">
        <f>AW116+AX116</f>
        <v>0</v>
      </c>
      <c r="AW116" s="11">
        <f>F116*AO116</f>
        <v>0</v>
      </c>
      <c r="AX116" s="11">
        <f>F116*AP116</f>
        <v>0</v>
      </c>
      <c r="AY116" s="60" t="s">
        <v>413</v>
      </c>
      <c r="AZ116" s="60" t="s">
        <v>368</v>
      </c>
      <c r="BA116" s="45" t="s">
        <v>165</v>
      </c>
      <c r="BC116" s="11">
        <f>AW116+AX116</f>
        <v>0</v>
      </c>
      <c r="BD116" s="11">
        <f>G116/(100-BE116)*100</f>
        <v>0</v>
      </c>
      <c r="BE116" s="11">
        <v>0</v>
      </c>
      <c r="BF116" s="11">
        <f>116</f>
        <v>116</v>
      </c>
      <c r="BH116" s="11">
        <f>F116*AO116</f>
        <v>0</v>
      </c>
      <c r="BI116" s="11">
        <f>F116*AP116</f>
        <v>0</v>
      </c>
      <c r="BJ116" s="11">
        <f>F116*G116</f>
        <v>0</v>
      </c>
      <c r="BK116" s="11"/>
      <c r="BL116" s="11"/>
      <c r="BW116" s="11">
        <v>12</v>
      </c>
      <c r="BX116" s="3" t="s">
        <v>411</v>
      </c>
    </row>
    <row r="117" spans="1:76" ht="14.5" x14ac:dyDescent="0.35">
      <c r="A117" s="61" t="s">
        <v>21</v>
      </c>
      <c r="B117" s="62" t="s">
        <v>60</v>
      </c>
      <c r="C117" s="163" t="s">
        <v>61</v>
      </c>
      <c r="D117" s="164"/>
      <c r="E117" s="63" t="s">
        <v>13</v>
      </c>
      <c r="F117" s="63" t="s">
        <v>13</v>
      </c>
      <c r="G117" s="64" t="s">
        <v>13</v>
      </c>
      <c r="H117" s="40">
        <f>SUM(H118:H141)</f>
        <v>0</v>
      </c>
      <c r="I117" s="45" t="s">
        <v>21</v>
      </c>
      <c r="J117" s="65" t="s">
        <v>21</v>
      </c>
      <c r="AI117" s="45" t="s">
        <v>21</v>
      </c>
      <c r="AS117" s="40">
        <f>SUM(AJ118:AJ141)</f>
        <v>0</v>
      </c>
      <c r="AT117" s="40">
        <f>SUM(AK118:AK141)</f>
        <v>0</v>
      </c>
      <c r="AU117" s="40">
        <f>SUM(AL118:AL141)</f>
        <v>0</v>
      </c>
    </row>
    <row r="118" spans="1:76" ht="14.5" x14ac:dyDescent="0.35">
      <c r="A118" s="1" t="s">
        <v>414</v>
      </c>
      <c r="B118" s="2" t="s">
        <v>415</v>
      </c>
      <c r="C118" s="81" t="s">
        <v>416</v>
      </c>
      <c r="D118" s="74"/>
      <c r="E118" s="2" t="s">
        <v>256</v>
      </c>
      <c r="F118" s="11">
        <v>20</v>
      </c>
      <c r="G118" s="59">
        <v>0</v>
      </c>
      <c r="H118" s="11">
        <f>F118*G118</f>
        <v>0</v>
      </c>
      <c r="I118" s="11">
        <v>0</v>
      </c>
      <c r="J118" s="12">
        <v>0</v>
      </c>
      <c r="Z118" s="11">
        <f>IF(AQ118="5",BJ118,0)</f>
        <v>0</v>
      </c>
      <c r="AB118" s="11">
        <f>IF(AQ118="1",BH118,0)</f>
        <v>0</v>
      </c>
      <c r="AC118" s="11">
        <f>IF(AQ118="1",BI118,0)</f>
        <v>0</v>
      </c>
      <c r="AD118" s="11">
        <f>IF(AQ118="7",BH118,0)</f>
        <v>0</v>
      </c>
      <c r="AE118" s="11">
        <f>IF(AQ118="7",BI118,0)</f>
        <v>0</v>
      </c>
      <c r="AF118" s="11">
        <f>IF(AQ118="2",BH118,0)</f>
        <v>0</v>
      </c>
      <c r="AG118" s="11">
        <f>IF(AQ118="2",BI118,0)</f>
        <v>0</v>
      </c>
      <c r="AH118" s="11">
        <f>IF(AQ118="0",BJ118,0)</f>
        <v>0</v>
      </c>
      <c r="AI118" s="45" t="s">
        <v>21</v>
      </c>
      <c r="AJ118" s="11">
        <f>IF(AN118=0,H118,0)</f>
        <v>0</v>
      </c>
      <c r="AK118" s="11">
        <f>IF(AN118=12,H118,0)</f>
        <v>0</v>
      </c>
      <c r="AL118" s="11">
        <f>IF(AN118=21,H118,0)</f>
        <v>0</v>
      </c>
      <c r="AN118" s="11">
        <v>12</v>
      </c>
      <c r="AO118" s="11">
        <f>G118*0</f>
        <v>0</v>
      </c>
      <c r="AP118" s="11">
        <f>G118*(1-0)</f>
        <v>0</v>
      </c>
      <c r="AQ118" s="60" t="s">
        <v>159</v>
      </c>
      <c r="AV118" s="11">
        <f>AW118+AX118</f>
        <v>0</v>
      </c>
      <c r="AW118" s="11">
        <f>F118*AO118</f>
        <v>0</v>
      </c>
      <c r="AX118" s="11">
        <f>F118*AP118</f>
        <v>0</v>
      </c>
      <c r="AY118" s="60" t="s">
        <v>417</v>
      </c>
      <c r="AZ118" s="60" t="s">
        <v>368</v>
      </c>
      <c r="BA118" s="45" t="s">
        <v>165</v>
      </c>
      <c r="BC118" s="11">
        <f>AW118+AX118</f>
        <v>0</v>
      </c>
      <c r="BD118" s="11">
        <f>G118/(100-BE118)*100</f>
        <v>0</v>
      </c>
      <c r="BE118" s="11">
        <v>0</v>
      </c>
      <c r="BF118" s="11">
        <f>118</f>
        <v>118</v>
      </c>
      <c r="BH118" s="11">
        <f>F118*AO118</f>
        <v>0</v>
      </c>
      <c r="BI118" s="11">
        <f>F118*AP118</f>
        <v>0</v>
      </c>
      <c r="BJ118" s="11">
        <f>F118*G118</f>
        <v>0</v>
      </c>
      <c r="BK118" s="11"/>
      <c r="BL118" s="11"/>
      <c r="BW118" s="11">
        <v>12</v>
      </c>
      <c r="BX118" s="3" t="s">
        <v>416</v>
      </c>
    </row>
    <row r="119" spans="1:76" ht="13.5" customHeight="1" x14ac:dyDescent="0.35">
      <c r="A119" s="66"/>
      <c r="B119" s="67" t="s">
        <v>175</v>
      </c>
      <c r="C119" s="165" t="s">
        <v>418</v>
      </c>
      <c r="D119" s="166"/>
      <c r="E119" s="166"/>
      <c r="F119" s="166"/>
      <c r="G119" s="167"/>
      <c r="H119" s="166"/>
      <c r="I119" s="166"/>
      <c r="J119" s="168"/>
    </row>
    <row r="120" spans="1:76" ht="14.5" x14ac:dyDescent="0.35">
      <c r="A120" s="1" t="s">
        <v>419</v>
      </c>
      <c r="B120" s="2" t="s">
        <v>420</v>
      </c>
      <c r="C120" s="81" t="s">
        <v>421</v>
      </c>
      <c r="D120" s="74"/>
      <c r="E120" s="2" t="s">
        <v>294</v>
      </c>
      <c r="F120" s="11">
        <v>1</v>
      </c>
      <c r="G120" s="59">
        <v>0</v>
      </c>
      <c r="H120" s="11">
        <f t="shared" ref="H120:H141" si="20">F120*G120</f>
        <v>0</v>
      </c>
      <c r="I120" s="11">
        <v>0</v>
      </c>
      <c r="J120" s="12">
        <v>0</v>
      </c>
      <c r="Z120" s="11">
        <f t="shared" ref="Z120:Z141" si="21">IF(AQ120="5",BJ120,0)</f>
        <v>0</v>
      </c>
      <c r="AB120" s="11">
        <f t="shared" ref="AB120:AB141" si="22">IF(AQ120="1",BH120,0)</f>
        <v>0</v>
      </c>
      <c r="AC120" s="11">
        <f t="shared" ref="AC120:AC141" si="23">IF(AQ120="1",BI120,0)</f>
        <v>0</v>
      </c>
      <c r="AD120" s="11">
        <f t="shared" ref="AD120:AD141" si="24">IF(AQ120="7",BH120,0)</f>
        <v>0</v>
      </c>
      <c r="AE120" s="11">
        <f t="shared" ref="AE120:AE141" si="25">IF(AQ120="7",BI120,0)</f>
        <v>0</v>
      </c>
      <c r="AF120" s="11">
        <f t="shared" ref="AF120:AF141" si="26">IF(AQ120="2",BH120,0)</f>
        <v>0</v>
      </c>
      <c r="AG120" s="11">
        <f t="shared" ref="AG120:AG141" si="27">IF(AQ120="2",BI120,0)</f>
        <v>0</v>
      </c>
      <c r="AH120" s="11">
        <f t="shared" ref="AH120:AH141" si="28">IF(AQ120="0",BJ120,0)</f>
        <v>0</v>
      </c>
      <c r="AI120" s="45" t="s">
        <v>21</v>
      </c>
      <c r="AJ120" s="11">
        <f t="shared" ref="AJ120:AJ141" si="29">IF(AN120=0,H120,0)</f>
        <v>0</v>
      </c>
      <c r="AK120" s="11">
        <f t="shared" ref="AK120:AK141" si="30">IF(AN120=12,H120,0)</f>
        <v>0</v>
      </c>
      <c r="AL120" s="11">
        <f t="shared" ref="AL120:AL141" si="31">IF(AN120=21,H120,0)</f>
        <v>0</v>
      </c>
      <c r="AN120" s="11">
        <v>12</v>
      </c>
      <c r="AO120" s="11">
        <f t="shared" ref="AO120:AO141" si="32">G120*0</f>
        <v>0</v>
      </c>
      <c r="AP120" s="11">
        <f t="shared" ref="AP120:AP141" si="33">G120*(1-0)</f>
        <v>0</v>
      </c>
      <c r="AQ120" s="60" t="s">
        <v>159</v>
      </c>
      <c r="AV120" s="11">
        <f t="shared" ref="AV120:AV141" si="34">AW120+AX120</f>
        <v>0</v>
      </c>
      <c r="AW120" s="11">
        <f t="shared" ref="AW120:AW141" si="35">F120*AO120</f>
        <v>0</v>
      </c>
      <c r="AX120" s="11">
        <f t="shared" ref="AX120:AX141" si="36">F120*AP120</f>
        <v>0</v>
      </c>
      <c r="AY120" s="60" t="s">
        <v>417</v>
      </c>
      <c r="AZ120" s="60" t="s">
        <v>368</v>
      </c>
      <c r="BA120" s="45" t="s">
        <v>165</v>
      </c>
      <c r="BC120" s="11">
        <f t="shared" ref="BC120:BC141" si="37">AW120+AX120</f>
        <v>0</v>
      </c>
      <c r="BD120" s="11">
        <f t="shared" ref="BD120:BD141" si="38">G120/(100-BE120)*100</f>
        <v>0</v>
      </c>
      <c r="BE120" s="11">
        <v>0</v>
      </c>
      <c r="BF120" s="11">
        <f>120</f>
        <v>120</v>
      </c>
      <c r="BH120" s="11">
        <f t="shared" ref="BH120:BH141" si="39">F120*AO120</f>
        <v>0</v>
      </c>
      <c r="BI120" s="11">
        <f t="shared" ref="BI120:BI141" si="40">F120*AP120</f>
        <v>0</v>
      </c>
      <c r="BJ120" s="11">
        <f t="shared" ref="BJ120:BJ141" si="41">F120*G120</f>
        <v>0</v>
      </c>
      <c r="BK120" s="11"/>
      <c r="BL120" s="11"/>
      <c r="BW120" s="11">
        <v>12</v>
      </c>
      <c r="BX120" s="3" t="s">
        <v>421</v>
      </c>
    </row>
    <row r="121" spans="1:76" ht="14.5" x14ac:dyDescent="0.35">
      <c r="A121" s="1" t="s">
        <v>422</v>
      </c>
      <c r="B121" s="2" t="s">
        <v>423</v>
      </c>
      <c r="C121" s="81" t="s">
        <v>424</v>
      </c>
      <c r="D121" s="74"/>
      <c r="E121" s="2" t="s">
        <v>338</v>
      </c>
      <c r="F121" s="11">
        <v>2</v>
      </c>
      <c r="G121" s="59">
        <v>0</v>
      </c>
      <c r="H121" s="11">
        <f t="shared" si="20"/>
        <v>0</v>
      </c>
      <c r="I121" s="11">
        <v>0</v>
      </c>
      <c r="J121" s="12">
        <v>0</v>
      </c>
      <c r="Z121" s="11">
        <f t="shared" si="21"/>
        <v>0</v>
      </c>
      <c r="AB121" s="11">
        <f t="shared" si="22"/>
        <v>0</v>
      </c>
      <c r="AC121" s="11">
        <f t="shared" si="23"/>
        <v>0</v>
      </c>
      <c r="AD121" s="11">
        <f t="shared" si="24"/>
        <v>0</v>
      </c>
      <c r="AE121" s="11">
        <f t="shared" si="25"/>
        <v>0</v>
      </c>
      <c r="AF121" s="11">
        <f t="shared" si="26"/>
        <v>0</v>
      </c>
      <c r="AG121" s="11">
        <f t="shared" si="27"/>
        <v>0</v>
      </c>
      <c r="AH121" s="11">
        <f t="shared" si="28"/>
        <v>0</v>
      </c>
      <c r="AI121" s="45" t="s">
        <v>21</v>
      </c>
      <c r="AJ121" s="11">
        <f t="shared" si="29"/>
        <v>0</v>
      </c>
      <c r="AK121" s="11">
        <f t="shared" si="30"/>
        <v>0</v>
      </c>
      <c r="AL121" s="11">
        <f t="shared" si="31"/>
        <v>0</v>
      </c>
      <c r="AN121" s="11">
        <v>12</v>
      </c>
      <c r="AO121" s="11">
        <f t="shared" si="32"/>
        <v>0</v>
      </c>
      <c r="AP121" s="11">
        <f t="shared" si="33"/>
        <v>0</v>
      </c>
      <c r="AQ121" s="60" t="s">
        <v>159</v>
      </c>
      <c r="AV121" s="11">
        <f t="shared" si="34"/>
        <v>0</v>
      </c>
      <c r="AW121" s="11">
        <f t="shared" si="35"/>
        <v>0</v>
      </c>
      <c r="AX121" s="11">
        <f t="shared" si="36"/>
        <v>0</v>
      </c>
      <c r="AY121" s="60" t="s">
        <v>417</v>
      </c>
      <c r="AZ121" s="60" t="s">
        <v>368</v>
      </c>
      <c r="BA121" s="45" t="s">
        <v>165</v>
      </c>
      <c r="BC121" s="11">
        <f t="shared" si="37"/>
        <v>0</v>
      </c>
      <c r="BD121" s="11">
        <f t="shared" si="38"/>
        <v>0</v>
      </c>
      <c r="BE121" s="11">
        <v>0</v>
      </c>
      <c r="BF121" s="11">
        <f>121</f>
        <v>121</v>
      </c>
      <c r="BH121" s="11">
        <f t="shared" si="39"/>
        <v>0</v>
      </c>
      <c r="BI121" s="11">
        <f t="shared" si="40"/>
        <v>0</v>
      </c>
      <c r="BJ121" s="11">
        <f t="shared" si="41"/>
        <v>0</v>
      </c>
      <c r="BK121" s="11"/>
      <c r="BL121" s="11"/>
      <c r="BW121" s="11">
        <v>12</v>
      </c>
      <c r="BX121" s="3" t="s">
        <v>424</v>
      </c>
    </row>
    <row r="122" spans="1:76" ht="14.5" x14ac:dyDescent="0.35">
      <c r="A122" s="1" t="s">
        <v>425</v>
      </c>
      <c r="B122" s="2" t="s">
        <v>426</v>
      </c>
      <c r="C122" s="81" t="s">
        <v>427</v>
      </c>
      <c r="D122" s="74"/>
      <c r="E122" s="2" t="s">
        <v>338</v>
      </c>
      <c r="F122" s="11">
        <v>1</v>
      </c>
      <c r="G122" s="59">
        <v>0</v>
      </c>
      <c r="H122" s="11">
        <f t="shared" si="20"/>
        <v>0</v>
      </c>
      <c r="I122" s="11">
        <v>0</v>
      </c>
      <c r="J122" s="12">
        <v>0</v>
      </c>
      <c r="Z122" s="11">
        <f t="shared" si="21"/>
        <v>0</v>
      </c>
      <c r="AB122" s="11">
        <f t="shared" si="22"/>
        <v>0</v>
      </c>
      <c r="AC122" s="11">
        <f t="shared" si="23"/>
        <v>0</v>
      </c>
      <c r="AD122" s="11">
        <f t="shared" si="24"/>
        <v>0</v>
      </c>
      <c r="AE122" s="11">
        <f t="shared" si="25"/>
        <v>0</v>
      </c>
      <c r="AF122" s="11">
        <f t="shared" si="26"/>
        <v>0</v>
      </c>
      <c r="AG122" s="11">
        <f t="shared" si="27"/>
        <v>0</v>
      </c>
      <c r="AH122" s="11">
        <f t="shared" si="28"/>
        <v>0</v>
      </c>
      <c r="AI122" s="45" t="s">
        <v>21</v>
      </c>
      <c r="AJ122" s="11">
        <f t="shared" si="29"/>
        <v>0</v>
      </c>
      <c r="AK122" s="11">
        <f t="shared" si="30"/>
        <v>0</v>
      </c>
      <c r="AL122" s="11">
        <f t="shared" si="31"/>
        <v>0</v>
      </c>
      <c r="AN122" s="11">
        <v>12</v>
      </c>
      <c r="AO122" s="11">
        <f t="shared" si="32"/>
        <v>0</v>
      </c>
      <c r="AP122" s="11">
        <f t="shared" si="33"/>
        <v>0</v>
      </c>
      <c r="AQ122" s="60" t="s">
        <v>159</v>
      </c>
      <c r="AV122" s="11">
        <f t="shared" si="34"/>
        <v>0</v>
      </c>
      <c r="AW122" s="11">
        <f t="shared" si="35"/>
        <v>0</v>
      </c>
      <c r="AX122" s="11">
        <f t="shared" si="36"/>
        <v>0</v>
      </c>
      <c r="AY122" s="60" t="s">
        <v>417</v>
      </c>
      <c r="AZ122" s="60" t="s">
        <v>368</v>
      </c>
      <c r="BA122" s="45" t="s">
        <v>165</v>
      </c>
      <c r="BC122" s="11">
        <f t="shared" si="37"/>
        <v>0</v>
      </c>
      <c r="BD122" s="11">
        <f t="shared" si="38"/>
        <v>0</v>
      </c>
      <c r="BE122" s="11">
        <v>0</v>
      </c>
      <c r="BF122" s="11">
        <f>122</f>
        <v>122</v>
      </c>
      <c r="BH122" s="11">
        <f t="shared" si="39"/>
        <v>0</v>
      </c>
      <c r="BI122" s="11">
        <f t="shared" si="40"/>
        <v>0</v>
      </c>
      <c r="BJ122" s="11">
        <f t="shared" si="41"/>
        <v>0</v>
      </c>
      <c r="BK122" s="11"/>
      <c r="BL122" s="11"/>
      <c r="BW122" s="11">
        <v>12</v>
      </c>
      <c r="BX122" s="3" t="s">
        <v>427</v>
      </c>
    </row>
    <row r="123" spans="1:76" ht="14.5" x14ac:dyDescent="0.35">
      <c r="A123" s="1" t="s">
        <v>428</v>
      </c>
      <c r="B123" s="2" t="s">
        <v>429</v>
      </c>
      <c r="C123" s="81" t="s">
        <v>430</v>
      </c>
      <c r="D123" s="74"/>
      <c r="E123" s="2" t="s">
        <v>338</v>
      </c>
      <c r="F123" s="11">
        <v>6</v>
      </c>
      <c r="G123" s="59">
        <v>0</v>
      </c>
      <c r="H123" s="11">
        <f t="shared" si="20"/>
        <v>0</v>
      </c>
      <c r="I123" s="11">
        <v>0</v>
      </c>
      <c r="J123" s="12">
        <v>0</v>
      </c>
      <c r="Z123" s="11">
        <f t="shared" si="21"/>
        <v>0</v>
      </c>
      <c r="AB123" s="11">
        <f t="shared" si="22"/>
        <v>0</v>
      </c>
      <c r="AC123" s="11">
        <f t="shared" si="23"/>
        <v>0</v>
      </c>
      <c r="AD123" s="11">
        <f t="shared" si="24"/>
        <v>0</v>
      </c>
      <c r="AE123" s="11">
        <f t="shared" si="25"/>
        <v>0</v>
      </c>
      <c r="AF123" s="11">
        <f t="shared" si="26"/>
        <v>0</v>
      </c>
      <c r="AG123" s="11">
        <f t="shared" si="27"/>
        <v>0</v>
      </c>
      <c r="AH123" s="11">
        <f t="shared" si="28"/>
        <v>0</v>
      </c>
      <c r="AI123" s="45" t="s">
        <v>21</v>
      </c>
      <c r="AJ123" s="11">
        <f t="shared" si="29"/>
        <v>0</v>
      </c>
      <c r="AK123" s="11">
        <f t="shared" si="30"/>
        <v>0</v>
      </c>
      <c r="AL123" s="11">
        <f t="shared" si="31"/>
        <v>0</v>
      </c>
      <c r="AN123" s="11">
        <v>12</v>
      </c>
      <c r="AO123" s="11">
        <f t="shared" si="32"/>
        <v>0</v>
      </c>
      <c r="AP123" s="11">
        <f t="shared" si="33"/>
        <v>0</v>
      </c>
      <c r="AQ123" s="60" t="s">
        <v>159</v>
      </c>
      <c r="AV123" s="11">
        <f t="shared" si="34"/>
        <v>0</v>
      </c>
      <c r="AW123" s="11">
        <f t="shared" si="35"/>
        <v>0</v>
      </c>
      <c r="AX123" s="11">
        <f t="shared" si="36"/>
        <v>0</v>
      </c>
      <c r="AY123" s="60" t="s">
        <v>417</v>
      </c>
      <c r="AZ123" s="60" t="s">
        <v>368</v>
      </c>
      <c r="BA123" s="45" t="s">
        <v>165</v>
      </c>
      <c r="BC123" s="11">
        <f t="shared" si="37"/>
        <v>0</v>
      </c>
      <c r="BD123" s="11">
        <f t="shared" si="38"/>
        <v>0</v>
      </c>
      <c r="BE123" s="11">
        <v>0</v>
      </c>
      <c r="BF123" s="11">
        <f>123</f>
        <v>123</v>
      </c>
      <c r="BH123" s="11">
        <f t="shared" si="39"/>
        <v>0</v>
      </c>
      <c r="BI123" s="11">
        <f t="shared" si="40"/>
        <v>0</v>
      </c>
      <c r="BJ123" s="11">
        <f t="shared" si="41"/>
        <v>0</v>
      </c>
      <c r="BK123" s="11"/>
      <c r="BL123" s="11"/>
      <c r="BW123" s="11">
        <v>12</v>
      </c>
      <c r="BX123" s="3" t="s">
        <v>430</v>
      </c>
    </row>
    <row r="124" spans="1:76" ht="14.5" x14ac:dyDescent="0.35">
      <c r="A124" s="1" t="s">
        <v>431</v>
      </c>
      <c r="B124" s="2" t="s">
        <v>432</v>
      </c>
      <c r="C124" s="81" t="s">
        <v>433</v>
      </c>
      <c r="D124" s="74"/>
      <c r="E124" s="2" t="s">
        <v>338</v>
      </c>
      <c r="F124" s="11">
        <v>1</v>
      </c>
      <c r="G124" s="59">
        <v>0</v>
      </c>
      <c r="H124" s="11">
        <f t="shared" si="20"/>
        <v>0</v>
      </c>
      <c r="I124" s="11">
        <v>0</v>
      </c>
      <c r="J124" s="12">
        <v>0</v>
      </c>
      <c r="Z124" s="11">
        <f t="shared" si="21"/>
        <v>0</v>
      </c>
      <c r="AB124" s="11">
        <f t="shared" si="22"/>
        <v>0</v>
      </c>
      <c r="AC124" s="11">
        <f t="shared" si="23"/>
        <v>0</v>
      </c>
      <c r="AD124" s="11">
        <f t="shared" si="24"/>
        <v>0</v>
      </c>
      <c r="AE124" s="11">
        <f t="shared" si="25"/>
        <v>0</v>
      </c>
      <c r="AF124" s="11">
        <f t="shared" si="26"/>
        <v>0</v>
      </c>
      <c r="AG124" s="11">
        <f t="shared" si="27"/>
        <v>0</v>
      </c>
      <c r="AH124" s="11">
        <f t="shared" si="28"/>
        <v>0</v>
      </c>
      <c r="AI124" s="45" t="s">
        <v>21</v>
      </c>
      <c r="AJ124" s="11">
        <f t="shared" si="29"/>
        <v>0</v>
      </c>
      <c r="AK124" s="11">
        <f t="shared" si="30"/>
        <v>0</v>
      </c>
      <c r="AL124" s="11">
        <f t="shared" si="31"/>
        <v>0</v>
      </c>
      <c r="AN124" s="11">
        <v>12</v>
      </c>
      <c r="AO124" s="11">
        <f t="shared" si="32"/>
        <v>0</v>
      </c>
      <c r="AP124" s="11">
        <f t="shared" si="33"/>
        <v>0</v>
      </c>
      <c r="AQ124" s="60" t="s">
        <v>159</v>
      </c>
      <c r="AV124" s="11">
        <f t="shared" si="34"/>
        <v>0</v>
      </c>
      <c r="AW124" s="11">
        <f t="shared" si="35"/>
        <v>0</v>
      </c>
      <c r="AX124" s="11">
        <f t="shared" si="36"/>
        <v>0</v>
      </c>
      <c r="AY124" s="60" t="s">
        <v>417</v>
      </c>
      <c r="AZ124" s="60" t="s">
        <v>368</v>
      </c>
      <c r="BA124" s="45" t="s">
        <v>165</v>
      </c>
      <c r="BC124" s="11">
        <f t="shared" si="37"/>
        <v>0</v>
      </c>
      <c r="BD124" s="11">
        <f t="shared" si="38"/>
        <v>0</v>
      </c>
      <c r="BE124" s="11">
        <v>0</v>
      </c>
      <c r="BF124" s="11">
        <f>124</f>
        <v>124</v>
      </c>
      <c r="BH124" s="11">
        <f t="shared" si="39"/>
        <v>0</v>
      </c>
      <c r="BI124" s="11">
        <f t="shared" si="40"/>
        <v>0</v>
      </c>
      <c r="BJ124" s="11">
        <f t="shared" si="41"/>
        <v>0</v>
      </c>
      <c r="BK124" s="11"/>
      <c r="BL124" s="11"/>
      <c r="BW124" s="11">
        <v>12</v>
      </c>
      <c r="BX124" s="3" t="s">
        <v>433</v>
      </c>
    </row>
    <row r="125" spans="1:76" ht="14.5" x14ac:dyDescent="0.35">
      <c r="A125" s="1" t="s">
        <v>434</v>
      </c>
      <c r="B125" s="2" t="s">
        <v>435</v>
      </c>
      <c r="C125" s="81" t="s">
        <v>436</v>
      </c>
      <c r="D125" s="74"/>
      <c r="E125" s="2" t="s">
        <v>338</v>
      </c>
      <c r="F125" s="11">
        <v>22</v>
      </c>
      <c r="G125" s="59">
        <v>0</v>
      </c>
      <c r="H125" s="11">
        <f t="shared" si="20"/>
        <v>0</v>
      </c>
      <c r="I125" s="11">
        <v>0</v>
      </c>
      <c r="J125" s="12">
        <v>0</v>
      </c>
      <c r="Z125" s="11">
        <f t="shared" si="21"/>
        <v>0</v>
      </c>
      <c r="AB125" s="11">
        <f t="shared" si="22"/>
        <v>0</v>
      </c>
      <c r="AC125" s="11">
        <f t="shared" si="23"/>
        <v>0</v>
      </c>
      <c r="AD125" s="11">
        <f t="shared" si="24"/>
        <v>0</v>
      </c>
      <c r="AE125" s="11">
        <f t="shared" si="25"/>
        <v>0</v>
      </c>
      <c r="AF125" s="11">
        <f t="shared" si="26"/>
        <v>0</v>
      </c>
      <c r="AG125" s="11">
        <f t="shared" si="27"/>
        <v>0</v>
      </c>
      <c r="AH125" s="11">
        <f t="shared" si="28"/>
        <v>0</v>
      </c>
      <c r="AI125" s="45" t="s">
        <v>21</v>
      </c>
      <c r="AJ125" s="11">
        <f t="shared" si="29"/>
        <v>0</v>
      </c>
      <c r="AK125" s="11">
        <f t="shared" si="30"/>
        <v>0</v>
      </c>
      <c r="AL125" s="11">
        <f t="shared" si="31"/>
        <v>0</v>
      </c>
      <c r="AN125" s="11">
        <v>12</v>
      </c>
      <c r="AO125" s="11">
        <f t="shared" si="32"/>
        <v>0</v>
      </c>
      <c r="AP125" s="11">
        <f t="shared" si="33"/>
        <v>0</v>
      </c>
      <c r="AQ125" s="60" t="s">
        <v>159</v>
      </c>
      <c r="AV125" s="11">
        <f t="shared" si="34"/>
        <v>0</v>
      </c>
      <c r="AW125" s="11">
        <f t="shared" si="35"/>
        <v>0</v>
      </c>
      <c r="AX125" s="11">
        <f t="shared" si="36"/>
        <v>0</v>
      </c>
      <c r="AY125" s="60" t="s">
        <v>417</v>
      </c>
      <c r="AZ125" s="60" t="s">
        <v>368</v>
      </c>
      <c r="BA125" s="45" t="s">
        <v>165</v>
      </c>
      <c r="BC125" s="11">
        <f t="shared" si="37"/>
        <v>0</v>
      </c>
      <c r="BD125" s="11">
        <f t="shared" si="38"/>
        <v>0</v>
      </c>
      <c r="BE125" s="11">
        <v>0</v>
      </c>
      <c r="BF125" s="11">
        <f>125</f>
        <v>125</v>
      </c>
      <c r="BH125" s="11">
        <f t="shared" si="39"/>
        <v>0</v>
      </c>
      <c r="BI125" s="11">
        <f t="shared" si="40"/>
        <v>0</v>
      </c>
      <c r="BJ125" s="11">
        <f t="shared" si="41"/>
        <v>0</v>
      </c>
      <c r="BK125" s="11"/>
      <c r="BL125" s="11"/>
      <c r="BW125" s="11">
        <v>12</v>
      </c>
      <c r="BX125" s="3" t="s">
        <v>436</v>
      </c>
    </row>
    <row r="126" spans="1:76" ht="14.5" x14ac:dyDescent="0.35">
      <c r="A126" s="1" t="s">
        <v>437</v>
      </c>
      <c r="B126" s="2" t="s">
        <v>438</v>
      </c>
      <c r="C126" s="81" t="s">
        <v>439</v>
      </c>
      <c r="D126" s="74"/>
      <c r="E126" s="2" t="s">
        <v>338</v>
      </c>
      <c r="F126" s="11">
        <v>55</v>
      </c>
      <c r="G126" s="59">
        <v>0</v>
      </c>
      <c r="H126" s="11">
        <f t="shared" si="20"/>
        <v>0</v>
      </c>
      <c r="I126" s="11">
        <v>0</v>
      </c>
      <c r="J126" s="12">
        <v>0</v>
      </c>
      <c r="Z126" s="11">
        <f t="shared" si="21"/>
        <v>0</v>
      </c>
      <c r="AB126" s="11">
        <f t="shared" si="22"/>
        <v>0</v>
      </c>
      <c r="AC126" s="11">
        <f t="shared" si="23"/>
        <v>0</v>
      </c>
      <c r="AD126" s="11">
        <f t="shared" si="24"/>
        <v>0</v>
      </c>
      <c r="AE126" s="11">
        <f t="shared" si="25"/>
        <v>0</v>
      </c>
      <c r="AF126" s="11">
        <f t="shared" si="26"/>
        <v>0</v>
      </c>
      <c r="AG126" s="11">
        <f t="shared" si="27"/>
        <v>0</v>
      </c>
      <c r="AH126" s="11">
        <f t="shared" si="28"/>
        <v>0</v>
      </c>
      <c r="AI126" s="45" t="s">
        <v>21</v>
      </c>
      <c r="AJ126" s="11">
        <f t="shared" si="29"/>
        <v>0</v>
      </c>
      <c r="AK126" s="11">
        <f t="shared" si="30"/>
        <v>0</v>
      </c>
      <c r="AL126" s="11">
        <f t="shared" si="31"/>
        <v>0</v>
      </c>
      <c r="AN126" s="11">
        <v>12</v>
      </c>
      <c r="AO126" s="11">
        <f t="shared" si="32"/>
        <v>0</v>
      </c>
      <c r="AP126" s="11">
        <f t="shared" si="33"/>
        <v>0</v>
      </c>
      <c r="AQ126" s="60" t="s">
        <v>159</v>
      </c>
      <c r="AV126" s="11">
        <f t="shared" si="34"/>
        <v>0</v>
      </c>
      <c r="AW126" s="11">
        <f t="shared" si="35"/>
        <v>0</v>
      </c>
      <c r="AX126" s="11">
        <f t="shared" si="36"/>
        <v>0</v>
      </c>
      <c r="AY126" s="60" t="s">
        <v>417</v>
      </c>
      <c r="AZ126" s="60" t="s">
        <v>368</v>
      </c>
      <c r="BA126" s="45" t="s">
        <v>165</v>
      </c>
      <c r="BC126" s="11">
        <f t="shared" si="37"/>
        <v>0</v>
      </c>
      <c r="BD126" s="11">
        <f t="shared" si="38"/>
        <v>0</v>
      </c>
      <c r="BE126" s="11">
        <v>0</v>
      </c>
      <c r="BF126" s="11">
        <f>126</f>
        <v>126</v>
      </c>
      <c r="BH126" s="11">
        <f t="shared" si="39"/>
        <v>0</v>
      </c>
      <c r="BI126" s="11">
        <f t="shared" si="40"/>
        <v>0</v>
      </c>
      <c r="BJ126" s="11">
        <f t="shared" si="41"/>
        <v>0</v>
      </c>
      <c r="BK126" s="11"/>
      <c r="BL126" s="11"/>
      <c r="BW126" s="11">
        <v>12</v>
      </c>
      <c r="BX126" s="3" t="s">
        <v>439</v>
      </c>
    </row>
    <row r="127" spans="1:76" ht="14.5" x14ac:dyDescent="0.35">
      <c r="A127" s="1" t="s">
        <v>440</v>
      </c>
      <c r="B127" s="2" t="s">
        <v>441</v>
      </c>
      <c r="C127" s="81" t="s">
        <v>442</v>
      </c>
      <c r="D127" s="74"/>
      <c r="E127" s="2" t="s">
        <v>338</v>
      </c>
      <c r="F127" s="11">
        <v>2</v>
      </c>
      <c r="G127" s="59">
        <v>0</v>
      </c>
      <c r="H127" s="11">
        <f t="shared" si="20"/>
        <v>0</v>
      </c>
      <c r="I127" s="11">
        <v>0</v>
      </c>
      <c r="J127" s="12">
        <v>0</v>
      </c>
      <c r="Z127" s="11">
        <f t="shared" si="21"/>
        <v>0</v>
      </c>
      <c r="AB127" s="11">
        <f t="shared" si="22"/>
        <v>0</v>
      </c>
      <c r="AC127" s="11">
        <f t="shared" si="23"/>
        <v>0</v>
      </c>
      <c r="AD127" s="11">
        <f t="shared" si="24"/>
        <v>0</v>
      </c>
      <c r="AE127" s="11">
        <f t="shared" si="25"/>
        <v>0</v>
      </c>
      <c r="AF127" s="11">
        <f t="shared" si="26"/>
        <v>0</v>
      </c>
      <c r="AG127" s="11">
        <f t="shared" si="27"/>
        <v>0</v>
      </c>
      <c r="AH127" s="11">
        <f t="shared" si="28"/>
        <v>0</v>
      </c>
      <c r="AI127" s="45" t="s">
        <v>21</v>
      </c>
      <c r="AJ127" s="11">
        <f t="shared" si="29"/>
        <v>0</v>
      </c>
      <c r="AK127" s="11">
        <f t="shared" si="30"/>
        <v>0</v>
      </c>
      <c r="AL127" s="11">
        <f t="shared" si="31"/>
        <v>0</v>
      </c>
      <c r="AN127" s="11">
        <v>12</v>
      </c>
      <c r="AO127" s="11">
        <f t="shared" si="32"/>
        <v>0</v>
      </c>
      <c r="AP127" s="11">
        <f t="shared" si="33"/>
        <v>0</v>
      </c>
      <c r="AQ127" s="60" t="s">
        <v>159</v>
      </c>
      <c r="AV127" s="11">
        <f t="shared" si="34"/>
        <v>0</v>
      </c>
      <c r="AW127" s="11">
        <f t="shared" si="35"/>
        <v>0</v>
      </c>
      <c r="AX127" s="11">
        <f t="shared" si="36"/>
        <v>0</v>
      </c>
      <c r="AY127" s="60" t="s">
        <v>417</v>
      </c>
      <c r="AZ127" s="60" t="s">
        <v>368</v>
      </c>
      <c r="BA127" s="45" t="s">
        <v>165</v>
      </c>
      <c r="BC127" s="11">
        <f t="shared" si="37"/>
        <v>0</v>
      </c>
      <c r="BD127" s="11">
        <f t="shared" si="38"/>
        <v>0</v>
      </c>
      <c r="BE127" s="11">
        <v>0</v>
      </c>
      <c r="BF127" s="11">
        <f>127</f>
        <v>127</v>
      </c>
      <c r="BH127" s="11">
        <f t="shared" si="39"/>
        <v>0</v>
      </c>
      <c r="BI127" s="11">
        <f t="shared" si="40"/>
        <v>0</v>
      </c>
      <c r="BJ127" s="11">
        <f t="shared" si="41"/>
        <v>0</v>
      </c>
      <c r="BK127" s="11"/>
      <c r="BL127" s="11"/>
      <c r="BW127" s="11">
        <v>12</v>
      </c>
      <c r="BX127" s="3" t="s">
        <v>442</v>
      </c>
    </row>
    <row r="128" spans="1:76" ht="14.5" x14ac:dyDescent="0.35">
      <c r="A128" s="1" t="s">
        <v>443</v>
      </c>
      <c r="B128" s="2" t="s">
        <v>444</v>
      </c>
      <c r="C128" s="81" t="s">
        <v>445</v>
      </c>
      <c r="D128" s="74"/>
      <c r="E128" s="2" t="s">
        <v>338</v>
      </c>
      <c r="F128" s="11">
        <v>7</v>
      </c>
      <c r="G128" s="59">
        <v>0</v>
      </c>
      <c r="H128" s="11">
        <f t="shared" si="20"/>
        <v>0</v>
      </c>
      <c r="I128" s="11">
        <v>0</v>
      </c>
      <c r="J128" s="12">
        <v>0</v>
      </c>
      <c r="Z128" s="11">
        <f t="shared" si="21"/>
        <v>0</v>
      </c>
      <c r="AB128" s="11">
        <f t="shared" si="22"/>
        <v>0</v>
      </c>
      <c r="AC128" s="11">
        <f t="shared" si="23"/>
        <v>0</v>
      </c>
      <c r="AD128" s="11">
        <f t="shared" si="24"/>
        <v>0</v>
      </c>
      <c r="AE128" s="11">
        <f t="shared" si="25"/>
        <v>0</v>
      </c>
      <c r="AF128" s="11">
        <f t="shared" si="26"/>
        <v>0</v>
      </c>
      <c r="AG128" s="11">
        <f t="shared" si="27"/>
        <v>0</v>
      </c>
      <c r="AH128" s="11">
        <f t="shared" si="28"/>
        <v>0</v>
      </c>
      <c r="AI128" s="45" t="s">
        <v>21</v>
      </c>
      <c r="AJ128" s="11">
        <f t="shared" si="29"/>
        <v>0</v>
      </c>
      <c r="AK128" s="11">
        <f t="shared" si="30"/>
        <v>0</v>
      </c>
      <c r="AL128" s="11">
        <f t="shared" si="31"/>
        <v>0</v>
      </c>
      <c r="AN128" s="11">
        <v>12</v>
      </c>
      <c r="AO128" s="11">
        <f t="shared" si="32"/>
        <v>0</v>
      </c>
      <c r="AP128" s="11">
        <f t="shared" si="33"/>
        <v>0</v>
      </c>
      <c r="AQ128" s="60" t="s">
        <v>159</v>
      </c>
      <c r="AV128" s="11">
        <f t="shared" si="34"/>
        <v>0</v>
      </c>
      <c r="AW128" s="11">
        <f t="shared" si="35"/>
        <v>0</v>
      </c>
      <c r="AX128" s="11">
        <f t="shared" si="36"/>
        <v>0</v>
      </c>
      <c r="AY128" s="60" t="s">
        <v>417</v>
      </c>
      <c r="AZ128" s="60" t="s">
        <v>368</v>
      </c>
      <c r="BA128" s="45" t="s">
        <v>165</v>
      </c>
      <c r="BC128" s="11">
        <f t="shared" si="37"/>
        <v>0</v>
      </c>
      <c r="BD128" s="11">
        <f t="shared" si="38"/>
        <v>0</v>
      </c>
      <c r="BE128" s="11">
        <v>0</v>
      </c>
      <c r="BF128" s="11">
        <f>128</f>
        <v>128</v>
      </c>
      <c r="BH128" s="11">
        <f t="shared" si="39"/>
        <v>0</v>
      </c>
      <c r="BI128" s="11">
        <f t="shared" si="40"/>
        <v>0</v>
      </c>
      <c r="BJ128" s="11">
        <f t="shared" si="41"/>
        <v>0</v>
      </c>
      <c r="BK128" s="11"/>
      <c r="BL128" s="11"/>
      <c r="BW128" s="11">
        <v>12</v>
      </c>
      <c r="BX128" s="3" t="s">
        <v>445</v>
      </c>
    </row>
    <row r="129" spans="1:76" ht="14.5" x14ac:dyDescent="0.35">
      <c r="A129" s="1" t="s">
        <v>446</v>
      </c>
      <c r="B129" s="2" t="s">
        <v>447</v>
      </c>
      <c r="C129" s="81" t="s">
        <v>448</v>
      </c>
      <c r="D129" s="74"/>
      <c r="E129" s="2" t="s">
        <v>338</v>
      </c>
      <c r="F129" s="11">
        <v>24</v>
      </c>
      <c r="G129" s="59">
        <v>0</v>
      </c>
      <c r="H129" s="11">
        <f t="shared" si="20"/>
        <v>0</v>
      </c>
      <c r="I129" s="11">
        <v>0</v>
      </c>
      <c r="J129" s="12">
        <v>0</v>
      </c>
      <c r="Z129" s="11">
        <f t="shared" si="21"/>
        <v>0</v>
      </c>
      <c r="AB129" s="11">
        <f t="shared" si="22"/>
        <v>0</v>
      </c>
      <c r="AC129" s="11">
        <f t="shared" si="23"/>
        <v>0</v>
      </c>
      <c r="AD129" s="11">
        <f t="shared" si="24"/>
        <v>0</v>
      </c>
      <c r="AE129" s="11">
        <f t="shared" si="25"/>
        <v>0</v>
      </c>
      <c r="AF129" s="11">
        <f t="shared" si="26"/>
        <v>0</v>
      </c>
      <c r="AG129" s="11">
        <f t="shared" si="27"/>
        <v>0</v>
      </c>
      <c r="AH129" s="11">
        <f t="shared" si="28"/>
        <v>0</v>
      </c>
      <c r="AI129" s="45" t="s">
        <v>21</v>
      </c>
      <c r="AJ129" s="11">
        <f t="shared" si="29"/>
        <v>0</v>
      </c>
      <c r="AK129" s="11">
        <f t="shared" si="30"/>
        <v>0</v>
      </c>
      <c r="AL129" s="11">
        <f t="shared" si="31"/>
        <v>0</v>
      </c>
      <c r="AN129" s="11">
        <v>12</v>
      </c>
      <c r="AO129" s="11">
        <f t="shared" si="32"/>
        <v>0</v>
      </c>
      <c r="AP129" s="11">
        <f t="shared" si="33"/>
        <v>0</v>
      </c>
      <c r="AQ129" s="60" t="s">
        <v>159</v>
      </c>
      <c r="AV129" s="11">
        <f t="shared" si="34"/>
        <v>0</v>
      </c>
      <c r="AW129" s="11">
        <f t="shared" si="35"/>
        <v>0</v>
      </c>
      <c r="AX129" s="11">
        <f t="shared" si="36"/>
        <v>0</v>
      </c>
      <c r="AY129" s="60" t="s">
        <v>417</v>
      </c>
      <c r="AZ129" s="60" t="s">
        <v>368</v>
      </c>
      <c r="BA129" s="45" t="s">
        <v>165</v>
      </c>
      <c r="BC129" s="11">
        <f t="shared" si="37"/>
        <v>0</v>
      </c>
      <c r="BD129" s="11">
        <f t="shared" si="38"/>
        <v>0</v>
      </c>
      <c r="BE129" s="11">
        <v>0</v>
      </c>
      <c r="BF129" s="11">
        <f>129</f>
        <v>129</v>
      </c>
      <c r="BH129" s="11">
        <f t="shared" si="39"/>
        <v>0</v>
      </c>
      <c r="BI129" s="11">
        <f t="shared" si="40"/>
        <v>0</v>
      </c>
      <c r="BJ129" s="11">
        <f t="shared" si="41"/>
        <v>0</v>
      </c>
      <c r="BK129" s="11"/>
      <c r="BL129" s="11"/>
      <c r="BW129" s="11">
        <v>12</v>
      </c>
      <c r="BX129" s="3" t="s">
        <v>448</v>
      </c>
    </row>
    <row r="130" spans="1:76" ht="14.5" x14ac:dyDescent="0.35">
      <c r="A130" s="1" t="s">
        <v>449</v>
      </c>
      <c r="B130" s="2" t="s">
        <v>450</v>
      </c>
      <c r="C130" s="81" t="s">
        <v>451</v>
      </c>
      <c r="D130" s="74"/>
      <c r="E130" s="2" t="s">
        <v>338</v>
      </c>
      <c r="F130" s="11">
        <v>3</v>
      </c>
      <c r="G130" s="59">
        <v>0</v>
      </c>
      <c r="H130" s="11">
        <f t="shared" si="20"/>
        <v>0</v>
      </c>
      <c r="I130" s="11">
        <v>0</v>
      </c>
      <c r="J130" s="12">
        <v>0</v>
      </c>
      <c r="Z130" s="11">
        <f t="shared" si="21"/>
        <v>0</v>
      </c>
      <c r="AB130" s="11">
        <f t="shared" si="22"/>
        <v>0</v>
      </c>
      <c r="AC130" s="11">
        <f t="shared" si="23"/>
        <v>0</v>
      </c>
      <c r="AD130" s="11">
        <f t="shared" si="24"/>
        <v>0</v>
      </c>
      <c r="AE130" s="11">
        <f t="shared" si="25"/>
        <v>0</v>
      </c>
      <c r="AF130" s="11">
        <f t="shared" si="26"/>
        <v>0</v>
      </c>
      <c r="AG130" s="11">
        <f t="shared" si="27"/>
        <v>0</v>
      </c>
      <c r="AH130" s="11">
        <f t="shared" si="28"/>
        <v>0</v>
      </c>
      <c r="AI130" s="45" t="s">
        <v>21</v>
      </c>
      <c r="AJ130" s="11">
        <f t="shared" si="29"/>
        <v>0</v>
      </c>
      <c r="AK130" s="11">
        <f t="shared" si="30"/>
        <v>0</v>
      </c>
      <c r="AL130" s="11">
        <f t="shared" si="31"/>
        <v>0</v>
      </c>
      <c r="AN130" s="11">
        <v>12</v>
      </c>
      <c r="AO130" s="11">
        <f t="shared" si="32"/>
        <v>0</v>
      </c>
      <c r="AP130" s="11">
        <f t="shared" si="33"/>
        <v>0</v>
      </c>
      <c r="AQ130" s="60" t="s">
        <v>159</v>
      </c>
      <c r="AV130" s="11">
        <f t="shared" si="34"/>
        <v>0</v>
      </c>
      <c r="AW130" s="11">
        <f t="shared" si="35"/>
        <v>0</v>
      </c>
      <c r="AX130" s="11">
        <f t="shared" si="36"/>
        <v>0</v>
      </c>
      <c r="AY130" s="60" t="s">
        <v>417</v>
      </c>
      <c r="AZ130" s="60" t="s">
        <v>368</v>
      </c>
      <c r="BA130" s="45" t="s">
        <v>165</v>
      </c>
      <c r="BC130" s="11">
        <f t="shared" si="37"/>
        <v>0</v>
      </c>
      <c r="BD130" s="11">
        <f t="shared" si="38"/>
        <v>0</v>
      </c>
      <c r="BE130" s="11">
        <v>0</v>
      </c>
      <c r="BF130" s="11">
        <f>130</f>
        <v>130</v>
      </c>
      <c r="BH130" s="11">
        <f t="shared" si="39"/>
        <v>0</v>
      </c>
      <c r="BI130" s="11">
        <f t="shared" si="40"/>
        <v>0</v>
      </c>
      <c r="BJ130" s="11">
        <f t="shared" si="41"/>
        <v>0</v>
      </c>
      <c r="BK130" s="11"/>
      <c r="BL130" s="11"/>
      <c r="BW130" s="11">
        <v>12</v>
      </c>
      <c r="BX130" s="3" t="s">
        <v>451</v>
      </c>
    </row>
    <row r="131" spans="1:76" ht="14.5" x14ac:dyDescent="0.35">
      <c r="A131" s="1" t="s">
        <v>452</v>
      </c>
      <c r="B131" s="2" t="s">
        <v>453</v>
      </c>
      <c r="C131" s="81" t="s">
        <v>454</v>
      </c>
      <c r="D131" s="74"/>
      <c r="E131" s="2" t="s">
        <v>338</v>
      </c>
      <c r="F131" s="11">
        <v>4</v>
      </c>
      <c r="G131" s="59">
        <v>0</v>
      </c>
      <c r="H131" s="11">
        <f t="shared" si="20"/>
        <v>0</v>
      </c>
      <c r="I131" s="11">
        <v>0</v>
      </c>
      <c r="J131" s="12">
        <v>0</v>
      </c>
      <c r="Z131" s="11">
        <f t="shared" si="21"/>
        <v>0</v>
      </c>
      <c r="AB131" s="11">
        <f t="shared" si="22"/>
        <v>0</v>
      </c>
      <c r="AC131" s="11">
        <f t="shared" si="23"/>
        <v>0</v>
      </c>
      <c r="AD131" s="11">
        <f t="shared" si="24"/>
        <v>0</v>
      </c>
      <c r="AE131" s="11">
        <f t="shared" si="25"/>
        <v>0</v>
      </c>
      <c r="AF131" s="11">
        <f t="shared" si="26"/>
        <v>0</v>
      </c>
      <c r="AG131" s="11">
        <f t="shared" si="27"/>
        <v>0</v>
      </c>
      <c r="AH131" s="11">
        <f t="shared" si="28"/>
        <v>0</v>
      </c>
      <c r="AI131" s="45" t="s">
        <v>21</v>
      </c>
      <c r="AJ131" s="11">
        <f t="shared" si="29"/>
        <v>0</v>
      </c>
      <c r="AK131" s="11">
        <f t="shared" si="30"/>
        <v>0</v>
      </c>
      <c r="AL131" s="11">
        <f t="shared" si="31"/>
        <v>0</v>
      </c>
      <c r="AN131" s="11">
        <v>12</v>
      </c>
      <c r="AO131" s="11">
        <f t="shared" si="32"/>
        <v>0</v>
      </c>
      <c r="AP131" s="11">
        <f t="shared" si="33"/>
        <v>0</v>
      </c>
      <c r="AQ131" s="60" t="s">
        <v>159</v>
      </c>
      <c r="AV131" s="11">
        <f t="shared" si="34"/>
        <v>0</v>
      </c>
      <c r="AW131" s="11">
        <f t="shared" si="35"/>
        <v>0</v>
      </c>
      <c r="AX131" s="11">
        <f t="shared" si="36"/>
        <v>0</v>
      </c>
      <c r="AY131" s="60" t="s">
        <v>417</v>
      </c>
      <c r="AZ131" s="60" t="s">
        <v>368</v>
      </c>
      <c r="BA131" s="45" t="s">
        <v>165</v>
      </c>
      <c r="BC131" s="11">
        <f t="shared" si="37"/>
        <v>0</v>
      </c>
      <c r="BD131" s="11">
        <f t="shared" si="38"/>
        <v>0</v>
      </c>
      <c r="BE131" s="11">
        <v>0</v>
      </c>
      <c r="BF131" s="11">
        <f>131</f>
        <v>131</v>
      </c>
      <c r="BH131" s="11">
        <f t="shared" si="39"/>
        <v>0</v>
      </c>
      <c r="BI131" s="11">
        <f t="shared" si="40"/>
        <v>0</v>
      </c>
      <c r="BJ131" s="11">
        <f t="shared" si="41"/>
        <v>0</v>
      </c>
      <c r="BK131" s="11"/>
      <c r="BL131" s="11"/>
      <c r="BW131" s="11">
        <v>12</v>
      </c>
      <c r="BX131" s="3" t="s">
        <v>454</v>
      </c>
    </row>
    <row r="132" spans="1:76" ht="14.5" x14ac:dyDescent="0.35">
      <c r="A132" s="1" t="s">
        <v>455</v>
      </c>
      <c r="B132" s="2" t="s">
        <v>456</v>
      </c>
      <c r="C132" s="81" t="s">
        <v>457</v>
      </c>
      <c r="D132" s="74"/>
      <c r="E132" s="2" t="s">
        <v>338</v>
      </c>
      <c r="F132" s="11">
        <v>14</v>
      </c>
      <c r="G132" s="59">
        <v>0</v>
      </c>
      <c r="H132" s="11">
        <f t="shared" si="20"/>
        <v>0</v>
      </c>
      <c r="I132" s="11">
        <v>0</v>
      </c>
      <c r="J132" s="12">
        <v>0</v>
      </c>
      <c r="Z132" s="11">
        <f t="shared" si="21"/>
        <v>0</v>
      </c>
      <c r="AB132" s="11">
        <f t="shared" si="22"/>
        <v>0</v>
      </c>
      <c r="AC132" s="11">
        <f t="shared" si="23"/>
        <v>0</v>
      </c>
      <c r="AD132" s="11">
        <f t="shared" si="24"/>
        <v>0</v>
      </c>
      <c r="AE132" s="11">
        <f t="shared" si="25"/>
        <v>0</v>
      </c>
      <c r="AF132" s="11">
        <f t="shared" si="26"/>
        <v>0</v>
      </c>
      <c r="AG132" s="11">
        <f t="shared" si="27"/>
        <v>0</v>
      </c>
      <c r="AH132" s="11">
        <f t="shared" si="28"/>
        <v>0</v>
      </c>
      <c r="AI132" s="45" t="s">
        <v>21</v>
      </c>
      <c r="AJ132" s="11">
        <f t="shared" si="29"/>
        <v>0</v>
      </c>
      <c r="AK132" s="11">
        <f t="shared" si="30"/>
        <v>0</v>
      </c>
      <c r="AL132" s="11">
        <f t="shared" si="31"/>
        <v>0</v>
      </c>
      <c r="AN132" s="11">
        <v>12</v>
      </c>
      <c r="AO132" s="11">
        <f t="shared" si="32"/>
        <v>0</v>
      </c>
      <c r="AP132" s="11">
        <f t="shared" si="33"/>
        <v>0</v>
      </c>
      <c r="AQ132" s="60" t="s">
        <v>159</v>
      </c>
      <c r="AV132" s="11">
        <f t="shared" si="34"/>
        <v>0</v>
      </c>
      <c r="AW132" s="11">
        <f t="shared" si="35"/>
        <v>0</v>
      </c>
      <c r="AX132" s="11">
        <f t="shared" si="36"/>
        <v>0</v>
      </c>
      <c r="AY132" s="60" t="s">
        <v>417</v>
      </c>
      <c r="AZ132" s="60" t="s">
        <v>368</v>
      </c>
      <c r="BA132" s="45" t="s">
        <v>165</v>
      </c>
      <c r="BC132" s="11">
        <f t="shared" si="37"/>
        <v>0</v>
      </c>
      <c r="BD132" s="11">
        <f t="shared" si="38"/>
        <v>0</v>
      </c>
      <c r="BE132" s="11">
        <v>0</v>
      </c>
      <c r="BF132" s="11">
        <f>132</f>
        <v>132</v>
      </c>
      <c r="BH132" s="11">
        <f t="shared" si="39"/>
        <v>0</v>
      </c>
      <c r="BI132" s="11">
        <f t="shared" si="40"/>
        <v>0</v>
      </c>
      <c r="BJ132" s="11">
        <f t="shared" si="41"/>
        <v>0</v>
      </c>
      <c r="BK132" s="11"/>
      <c r="BL132" s="11"/>
      <c r="BW132" s="11">
        <v>12</v>
      </c>
      <c r="BX132" s="3" t="s">
        <v>457</v>
      </c>
    </row>
    <row r="133" spans="1:76" ht="14.5" x14ac:dyDescent="0.35">
      <c r="A133" s="1" t="s">
        <v>458</v>
      </c>
      <c r="B133" s="2" t="s">
        <v>459</v>
      </c>
      <c r="C133" s="81" t="s">
        <v>460</v>
      </c>
      <c r="D133" s="74"/>
      <c r="E133" s="2" t="s">
        <v>338</v>
      </c>
      <c r="F133" s="11">
        <v>3</v>
      </c>
      <c r="G133" s="59">
        <v>0</v>
      </c>
      <c r="H133" s="11">
        <f t="shared" si="20"/>
        <v>0</v>
      </c>
      <c r="I133" s="11">
        <v>0</v>
      </c>
      <c r="J133" s="12">
        <v>0</v>
      </c>
      <c r="Z133" s="11">
        <f t="shared" si="21"/>
        <v>0</v>
      </c>
      <c r="AB133" s="11">
        <f t="shared" si="22"/>
        <v>0</v>
      </c>
      <c r="AC133" s="11">
        <f t="shared" si="23"/>
        <v>0</v>
      </c>
      <c r="AD133" s="11">
        <f t="shared" si="24"/>
        <v>0</v>
      </c>
      <c r="AE133" s="11">
        <f t="shared" si="25"/>
        <v>0</v>
      </c>
      <c r="AF133" s="11">
        <f t="shared" si="26"/>
        <v>0</v>
      </c>
      <c r="AG133" s="11">
        <f t="shared" si="27"/>
        <v>0</v>
      </c>
      <c r="AH133" s="11">
        <f t="shared" si="28"/>
        <v>0</v>
      </c>
      <c r="AI133" s="45" t="s">
        <v>21</v>
      </c>
      <c r="AJ133" s="11">
        <f t="shared" si="29"/>
        <v>0</v>
      </c>
      <c r="AK133" s="11">
        <f t="shared" si="30"/>
        <v>0</v>
      </c>
      <c r="AL133" s="11">
        <f t="shared" si="31"/>
        <v>0</v>
      </c>
      <c r="AN133" s="11">
        <v>12</v>
      </c>
      <c r="AO133" s="11">
        <f t="shared" si="32"/>
        <v>0</v>
      </c>
      <c r="AP133" s="11">
        <f t="shared" si="33"/>
        <v>0</v>
      </c>
      <c r="AQ133" s="60" t="s">
        <v>159</v>
      </c>
      <c r="AV133" s="11">
        <f t="shared" si="34"/>
        <v>0</v>
      </c>
      <c r="AW133" s="11">
        <f t="shared" si="35"/>
        <v>0</v>
      </c>
      <c r="AX133" s="11">
        <f t="shared" si="36"/>
        <v>0</v>
      </c>
      <c r="AY133" s="60" t="s">
        <v>417</v>
      </c>
      <c r="AZ133" s="60" t="s">
        <v>368</v>
      </c>
      <c r="BA133" s="45" t="s">
        <v>165</v>
      </c>
      <c r="BC133" s="11">
        <f t="shared" si="37"/>
        <v>0</v>
      </c>
      <c r="BD133" s="11">
        <f t="shared" si="38"/>
        <v>0</v>
      </c>
      <c r="BE133" s="11">
        <v>0</v>
      </c>
      <c r="BF133" s="11">
        <f>133</f>
        <v>133</v>
      </c>
      <c r="BH133" s="11">
        <f t="shared" si="39"/>
        <v>0</v>
      </c>
      <c r="BI133" s="11">
        <f t="shared" si="40"/>
        <v>0</v>
      </c>
      <c r="BJ133" s="11">
        <f t="shared" si="41"/>
        <v>0</v>
      </c>
      <c r="BK133" s="11"/>
      <c r="BL133" s="11"/>
      <c r="BW133" s="11">
        <v>12</v>
      </c>
      <c r="BX133" s="3" t="s">
        <v>460</v>
      </c>
    </row>
    <row r="134" spans="1:76" ht="14.5" x14ac:dyDescent="0.35">
      <c r="A134" s="1" t="s">
        <v>461</v>
      </c>
      <c r="B134" s="2" t="s">
        <v>462</v>
      </c>
      <c r="C134" s="81" t="s">
        <v>463</v>
      </c>
      <c r="D134" s="74"/>
      <c r="E134" s="2" t="s">
        <v>338</v>
      </c>
      <c r="F134" s="11">
        <v>6</v>
      </c>
      <c r="G134" s="59">
        <v>0</v>
      </c>
      <c r="H134" s="11">
        <f t="shared" si="20"/>
        <v>0</v>
      </c>
      <c r="I134" s="11">
        <v>0</v>
      </c>
      <c r="J134" s="12">
        <v>0</v>
      </c>
      <c r="Z134" s="11">
        <f t="shared" si="21"/>
        <v>0</v>
      </c>
      <c r="AB134" s="11">
        <f t="shared" si="22"/>
        <v>0</v>
      </c>
      <c r="AC134" s="11">
        <f t="shared" si="23"/>
        <v>0</v>
      </c>
      <c r="AD134" s="11">
        <f t="shared" si="24"/>
        <v>0</v>
      </c>
      <c r="AE134" s="11">
        <f t="shared" si="25"/>
        <v>0</v>
      </c>
      <c r="AF134" s="11">
        <f t="shared" si="26"/>
        <v>0</v>
      </c>
      <c r="AG134" s="11">
        <f t="shared" si="27"/>
        <v>0</v>
      </c>
      <c r="AH134" s="11">
        <f t="shared" si="28"/>
        <v>0</v>
      </c>
      <c r="AI134" s="45" t="s">
        <v>21</v>
      </c>
      <c r="AJ134" s="11">
        <f t="shared" si="29"/>
        <v>0</v>
      </c>
      <c r="AK134" s="11">
        <f t="shared" si="30"/>
        <v>0</v>
      </c>
      <c r="AL134" s="11">
        <f t="shared" si="31"/>
        <v>0</v>
      </c>
      <c r="AN134" s="11">
        <v>12</v>
      </c>
      <c r="AO134" s="11">
        <f t="shared" si="32"/>
        <v>0</v>
      </c>
      <c r="AP134" s="11">
        <f t="shared" si="33"/>
        <v>0</v>
      </c>
      <c r="AQ134" s="60" t="s">
        <v>159</v>
      </c>
      <c r="AV134" s="11">
        <f t="shared" si="34"/>
        <v>0</v>
      </c>
      <c r="AW134" s="11">
        <f t="shared" si="35"/>
        <v>0</v>
      </c>
      <c r="AX134" s="11">
        <f t="shared" si="36"/>
        <v>0</v>
      </c>
      <c r="AY134" s="60" t="s">
        <v>417</v>
      </c>
      <c r="AZ134" s="60" t="s">
        <v>368</v>
      </c>
      <c r="BA134" s="45" t="s">
        <v>165</v>
      </c>
      <c r="BC134" s="11">
        <f t="shared" si="37"/>
        <v>0</v>
      </c>
      <c r="BD134" s="11">
        <f t="shared" si="38"/>
        <v>0</v>
      </c>
      <c r="BE134" s="11">
        <v>0</v>
      </c>
      <c r="BF134" s="11">
        <f>134</f>
        <v>134</v>
      </c>
      <c r="BH134" s="11">
        <f t="shared" si="39"/>
        <v>0</v>
      </c>
      <c r="BI134" s="11">
        <f t="shared" si="40"/>
        <v>0</v>
      </c>
      <c r="BJ134" s="11">
        <f t="shared" si="41"/>
        <v>0</v>
      </c>
      <c r="BK134" s="11"/>
      <c r="BL134" s="11"/>
      <c r="BW134" s="11">
        <v>12</v>
      </c>
      <c r="BX134" s="3" t="s">
        <v>463</v>
      </c>
    </row>
    <row r="135" spans="1:76" ht="14.5" x14ac:dyDescent="0.35">
      <c r="A135" s="1" t="s">
        <v>464</v>
      </c>
      <c r="B135" s="2" t="s">
        <v>465</v>
      </c>
      <c r="C135" s="81" t="s">
        <v>466</v>
      </c>
      <c r="D135" s="74"/>
      <c r="E135" s="2" t="s">
        <v>338</v>
      </c>
      <c r="F135" s="11">
        <v>1</v>
      </c>
      <c r="G135" s="59">
        <v>0</v>
      </c>
      <c r="H135" s="11">
        <f t="shared" si="20"/>
        <v>0</v>
      </c>
      <c r="I135" s="11">
        <v>0</v>
      </c>
      <c r="J135" s="12">
        <v>0</v>
      </c>
      <c r="Z135" s="11">
        <f t="shared" si="21"/>
        <v>0</v>
      </c>
      <c r="AB135" s="11">
        <f t="shared" si="22"/>
        <v>0</v>
      </c>
      <c r="AC135" s="11">
        <f t="shared" si="23"/>
        <v>0</v>
      </c>
      <c r="AD135" s="11">
        <f t="shared" si="24"/>
        <v>0</v>
      </c>
      <c r="AE135" s="11">
        <f t="shared" si="25"/>
        <v>0</v>
      </c>
      <c r="AF135" s="11">
        <f t="shared" si="26"/>
        <v>0</v>
      </c>
      <c r="AG135" s="11">
        <f t="shared" si="27"/>
        <v>0</v>
      </c>
      <c r="AH135" s="11">
        <f t="shared" si="28"/>
        <v>0</v>
      </c>
      <c r="AI135" s="45" t="s">
        <v>21</v>
      </c>
      <c r="AJ135" s="11">
        <f t="shared" si="29"/>
        <v>0</v>
      </c>
      <c r="AK135" s="11">
        <f t="shared" si="30"/>
        <v>0</v>
      </c>
      <c r="AL135" s="11">
        <f t="shared" si="31"/>
        <v>0</v>
      </c>
      <c r="AN135" s="11">
        <v>12</v>
      </c>
      <c r="AO135" s="11">
        <f t="shared" si="32"/>
        <v>0</v>
      </c>
      <c r="AP135" s="11">
        <f t="shared" si="33"/>
        <v>0</v>
      </c>
      <c r="AQ135" s="60" t="s">
        <v>159</v>
      </c>
      <c r="AV135" s="11">
        <f t="shared" si="34"/>
        <v>0</v>
      </c>
      <c r="AW135" s="11">
        <f t="shared" si="35"/>
        <v>0</v>
      </c>
      <c r="AX135" s="11">
        <f t="shared" si="36"/>
        <v>0</v>
      </c>
      <c r="AY135" s="60" t="s">
        <v>417</v>
      </c>
      <c r="AZ135" s="60" t="s">
        <v>368</v>
      </c>
      <c r="BA135" s="45" t="s">
        <v>165</v>
      </c>
      <c r="BC135" s="11">
        <f t="shared" si="37"/>
        <v>0</v>
      </c>
      <c r="BD135" s="11">
        <f t="shared" si="38"/>
        <v>0</v>
      </c>
      <c r="BE135" s="11">
        <v>0</v>
      </c>
      <c r="BF135" s="11">
        <f>135</f>
        <v>135</v>
      </c>
      <c r="BH135" s="11">
        <f t="shared" si="39"/>
        <v>0</v>
      </c>
      <c r="BI135" s="11">
        <f t="shared" si="40"/>
        <v>0</v>
      </c>
      <c r="BJ135" s="11">
        <f t="shared" si="41"/>
        <v>0</v>
      </c>
      <c r="BK135" s="11"/>
      <c r="BL135" s="11"/>
      <c r="BW135" s="11">
        <v>12</v>
      </c>
      <c r="BX135" s="3" t="s">
        <v>466</v>
      </c>
    </row>
    <row r="136" spans="1:76" ht="14.5" x14ac:dyDescent="0.35">
      <c r="A136" s="1" t="s">
        <v>467</v>
      </c>
      <c r="B136" s="2" t="s">
        <v>468</v>
      </c>
      <c r="C136" s="81" t="s">
        <v>469</v>
      </c>
      <c r="D136" s="74"/>
      <c r="E136" s="2" t="s">
        <v>338</v>
      </c>
      <c r="F136" s="11">
        <v>92</v>
      </c>
      <c r="G136" s="59">
        <v>0</v>
      </c>
      <c r="H136" s="11">
        <f t="shared" si="20"/>
        <v>0</v>
      </c>
      <c r="I136" s="11">
        <v>0</v>
      </c>
      <c r="J136" s="12">
        <v>0</v>
      </c>
      <c r="Z136" s="11">
        <f t="shared" si="21"/>
        <v>0</v>
      </c>
      <c r="AB136" s="11">
        <f t="shared" si="22"/>
        <v>0</v>
      </c>
      <c r="AC136" s="11">
        <f t="shared" si="23"/>
        <v>0</v>
      </c>
      <c r="AD136" s="11">
        <f t="shared" si="24"/>
        <v>0</v>
      </c>
      <c r="AE136" s="11">
        <f t="shared" si="25"/>
        <v>0</v>
      </c>
      <c r="AF136" s="11">
        <f t="shared" si="26"/>
        <v>0</v>
      </c>
      <c r="AG136" s="11">
        <f t="shared" si="27"/>
        <v>0</v>
      </c>
      <c r="AH136" s="11">
        <f t="shared" si="28"/>
        <v>0</v>
      </c>
      <c r="AI136" s="45" t="s">
        <v>21</v>
      </c>
      <c r="AJ136" s="11">
        <f t="shared" si="29"/>
        <v>0</v>
      </c>
      <c r="AK136" s="11">
        <f t="shared" si="30"/>
        <v>0</v>
      </c>
      <c r="AL136" s="11">
        <f t="shared" si="31"/>
        <v>0</v>
      </c>
      <c r="AN136" s="11">
        <v>12</v>
      </c>
      <c r="AO136" s="11">
        <f t="shared" si="32"/>
        <v>0</v>
      </c>
      <c r="AP136" s="11">
        <f t="shared" si="33"/>
        <v>0</v>
      </c>
      <c r="AQ136" s="60" t="s">
        <v>159</v>
      </c>
      <c r="AV136" s="11">
        <f t="shared" si="34"/>
        <v>0</v>
      </c>
      <c r="AW136" s="11">
        <f t="shared" si="35"/>
        <v>0</v>
      </c>
      <c r="AX136" s="11">
        <f t="shared" si="36"/>
        <v>0</v>
      </c>
      <c r="AY136" s="60" t="s">
        <v>417</v>
      </c>
      <c r="AZ136" s="60" t="s">
        <v>368</v>
      </c>
      <c r="BA136" s="45" t="s">
        <v>165</v>
      </c>
      <c r="BC136" s="11">
        <f t="shared" si="37"/>
        <v>0</v>
      </c>
      <c r="BD136" s="11">
        <f t="shared" si="38"/>
        <v>0</v>
      </c>
      <c r="BE136" s="11">
        <v>0</v>
      </c>
      <c r="BF136" s="11">
        <f>136</f>
        <v>136</v>
      </c>
      <c r="BH136" s="11">
        <f t="shared" si="39"/>
        <v>0</v>
      </c>
      <c r="BI136" s="11">
        <f t="shared" si="40"/>
        <v>0</v>
      </c>
      <c r="BJ136" s="11">
        <f t="shared" si="41"/>
        <v>0</v>
      </c>
      <c r="BK136" s="11"/>
      <c r="BL136" s="11"/>
      <c r="BW136" s="11">
        <v>12</v>
      </c>
      <c r="BX136" s="3" t="s">
        <v>469</v>
      </c>
    </row>
    <row r="137" spans="1:76" ht="14.5" x14ac:dyDescent="0.35">
      <c r="A137" s="1" t="s">
        <v>470</v>
      </c>
      <c r="B137" s="2" t="s">
        <v>471</v>
      </c>
      <c r="C137" s="81" t="s">
        <v>472</v>
      </c>
      <c r="D137" s="74"/>
      <c r="E137" s="2" t="s">
        <v>338</v>
      </c>
      <c r="F137" s="11">
        <v>8</v>
      </c>
      <c r="G137" s="59">
        <v>0</v>
      </c>
      <c r="H137" s="11">
        <f t="shared" si="20"/>
        <v>0</v>
      </c>
      <c r="I137" s="11">
        <v>0</v>
      </c>
      <c r="J137" s="12">
        <v>0</v>
      </c>
      <c r="Z137" s="11">
        <f t="shared" si="21"/>
        <v>0</v>
      </c>
      <c r="AB137" s="11">
        <f t="shared" si="22"/>
        <v>0</v>
      </c>
      <c r="AC137" s="11">
        <f t="shared" si="23"/>
        <v>0</v>
      </c>
      <c r="AD137" s="11">
        <f t="shared" si="24"/>
        <v>0</v>
      </c>
      <c r="AE137" s="11">
        <f t="shared" si="25"/>
        <v>0</v>
      </c>
      <c r="AF137" s="11">
        <f t="shared" si="26"/>
        <v>0</v>
      </c>
      <c r="AG137" s="11">
        <f t="shared" si="27"/>
        <v>0</v>
      </c>
      <c r="AH137" s="11">
        <f t="shared" si="28"/>
        <v>0</v>
      </c>
      <c r="AI137" s="45" t="s">
        <v>21</v>
      </c>
      <c r="AJ137" s="11">
        <f t="shared" si="29"/>
        <v>0</v>
      </c>
      <c r="AK137" s="11">
        <f t="shared" si="30"/>
        <v>0</v>
      </c>
      <c r="AL137" s="11">
        <f t="shared" si="31"/>
        <v>0</v>
      </c>
      <c r="AN137" s="11">
        <v>12</v>
      </c>
      <c r="AO137" s="11">
        <f t="shared" si="32"/>
        <v>0</v>
      </c>
      <c r="AP137" s="11">
        <f t="shared" si="33"/>
        <v>0</v>
      </c>
      <c r="AQ137" s="60" t="s">
        <v>159</v>
      </c>
      <c r="AV137" s="11">
        <f t="shared" si="34"/>
        <v>0</v>
      </c>
      <c r="AW137" s="11">
        <f t="shared" si="35"/>
        <v>0</v>
      </c>
      <c r="AX137" s="11">
        <f t="shared" si="36"/>
        <v>0</v>
      </c>
      <c r="AY137" s="60" t="s">
        <v>417</v>
      </c>
      <c r="AZ137" s="60" t="s">
        <v>368</v>
      </c>
      <c r="BA137" s="45" t="s">
        <v>165</v>
      </c>
      <c r="BC137" s="11">
        <f t="shared" si="37"/>
        <v>0</v>
      </c>
      <c r="BD137" s="11">
        <f t="shared" si="38"/>
        <v>0</v>
      </c>
      <c r="BE137" s="11">
        <v>0</v>
      </c>
      <c r="BF137" s="11">
        <f>137</f>
        <v>137</v>
      </c>
      <c r="BH137" s="11">
        <f t="shared" si="39"/>
        <v>0</v>
      </c>
      <c r="BI137" s="11">
        <f t="shared" si="40"/>
        <v>0</v>
      </c>
      <c r="BJ137" s="11">
        <f t="shared" si="41"/>
        <v>0</v>
      </c>
      <c r="BK137" s="11"/>
      <c r="BL137" s="11"/>
      <c r="BW137" s="11">
        <v>12</v>
      </c>
      <c r="BX137" s="3" t="s">
        <v>472</v>
      </c>
    </row>
    <row r="138" spans="1:76" ht="14.5" x14ac:dyDescent="0.35">
      <c r="A138" s="1" t="s">
        <v>473</v>
      </c>
      <c r="B138" s="2" t="s">
        <v>474</v>
      </c>
      <c r="C138" s="81" t="s">
        <v>475</v>
      </c>
      <c r="D138" s="74"/>
      <c r="E138" s="2" t="s">
        <v>338</v>
      </c>
      <c r="F138" s="11">
        <v>8</v>
      </c>
      <c r="G138" s="59">
        <v>0</v>
      </c>
      <c r="H138" s="11">
        <f t="shared" si="20"/>
        <v>0</v>
      </c>
      <c r="I138" s="11">
        <v>0</v>
      </c>
      <c r="J138" s="12">
        <v>0</v>
      </c>
      <c r="Z138" s="11">
        <f t="shared" si="21"/>
        <v>0</v>
      </c>
      <c r="AB138" s="11">
        <f t="shared" si="22"/>
        <v>0</v>
      </c>
      <c r="AC138" s="11">
        <f t="shared" si="23"/>
        <v>0</v>
      </c>
      <c r="AD138" s="11">
        <f t="shared" si="24"/>
        <v>0</v>
      </c>
      <c r="AE138" s="11">
        <f t="shared" si="25"/>
        <v>0</v>
      </c>
      <c r="AF138" s="11">
        <f t="shared" si="26"/>
        <v>0</v>
      </c>
      <c r="AG138" s="11">
        <f t="shared" si="27"/>
        <v>0</v>
      </c>
      <c r="AH138" s="11">
        <f t="shared" si="28"/>
        <v>0</v>
      </c>
      <c r="AI138" s="45" t="s">
        <v>21</v>
      </c>
      <c r="AJ138" s="11">
        <f t="shared" si="29"/>
        <v>0</v>
      </c>
      <c r="AK138" s="11">
        <f t="shared" si="30"/>
        <v>0</v>
      </c>
      <c r="AL138" s="11">
        <f t="shared" si="31"/>
        <v>0</v>
      </c>
      <c r="AN138" s="11">
        <v>12</v>
      </c>
      <c r="AO138" s="11">
        <f t="shared" si="32"/>
        <v>0</v>
      </c>
      <c r="AP138" s="11">
        <f t="shared" si="33"/>
        <v>0</v>
      </c>
      <c r="AQ138" s="60" t="s">
        <v>159</v>
      </c>
      <c r="AV138" s="11">
        <f t="shared" si="34"/>
        <v>0</v>
      </c>
      <c r="AW138" s="11">
        <f t="shared" si="35"/>
        <v>0</v>
      </c>
      <c r="AX138" s="11">
        <f t="shared" si="36"/>
        <v>0</v>
      </c>
      <c r="AY138" s="60" t="s">
        <v>417</v>
      </c>
      <c r="AZ138" s="60" t="s">
        <v>368</v>
      </c>
      <c r="BA138" s="45" t="s">
        <v>165</v>
      </c>
      <c r="BC138" s="11">
        <f t="shared" si="37"/>
        <v>0</v>
      </c>
      <c r="BD138" s="11">
        <f t="shared" si="38"/>
        <v>0</v>
      </c>
      <c r="BE138" s="11">
        <v>0</v>
      </c>
      <c r="BF138" s="11">
        <f>138</f>
        <v>138</v>
      </c>
      <c r="BH138" s="11">
        <f t="shared" si="39"/>
        <v>0</v>
      </c>
      <c r="BI138" s="11">
        <f t="shared" si="40"/>
        <v>0</v>
      </c>
      <c r="BJ138" s="11">
        <f t="shared" si="41"/>
        <v>0</v>
      </c>
      <c r="BK138" s="11"/>
      <c r="BL138" s="11"/>
      <c r="BW138" s="11">
        <v>12</v>
      </c>
      <c r="BX138" s="3" t="s">
        <v>475</v>
      </c>
    </row>
    <row r="139" spans="1:76" ht="14.5" x14ac:dyDescent="0.35">
      <c r="A139" s="1" t="s">
        <v>476</v>
      </c>
      <c r="B139" s="2" t="s">
        <v>477</v>
      </c>
      <c r="C139" s="81" t="s">
        <v>478</v>
      </c>
      <c r="D139" s="74"/>
      <c r="E139" s="2" t="s">
        <v>338</v>
      </c>
      <c r="F139" s="11">
        <v>6</v>
      </c>
      <c r="G139" s="59">
        <v>0</v>
      </c>
      <c r="H139" s="11">
        <f t="shared" si="20"/>
        <v>0</v>
      </c>
      <c r="I139" s="11">
        <v>0</v>
      </c>
      <c r="J139" s="12">
        <v>0</v>
      </c>
      <c r="Z139" s="11">
        <f t="shared" si="21"/>
        <v>0</v>
      </c>
      <c r="AB139" s="11">
        <f t="shared" si="22"/>
        <v>0</v>
      </c>
      <c r="AC139" s="11">
        <f t="shared" si="23"/>
        <v>0</v>
      </c>
      <c r="AD139" s="11">
        <f t="shared" si="24"/>
        <v>0</v>
      </c>
      <c r="AE139" s="11">
        <f t="shared" si="25"/>
        <v>0</v>
      </c>
      <c r="AF139" s="11">
        <f t="shared" si="26"/>
        <v>0</v>
      </c>
      <c r="AG139" s="11">
        <f t="shared" si="27"/>
        <v>0</v>
      </c>
      <c r="AH139" s="11">
        <f t="shared" si="28"/>
        <v>0</v>
      </c>
      <c r="AI139" s="45" t="s">
        <v>21</v>
      </c>
      <c r="AJ139" s="11">
        <f t="shared" si="29"/>
        <v>0</v>
      </c>
      <c r="AK139" s="11">
        <f t="shared" si="30"/>
        <v>0</v>
      </c>
      <c r="AL139" s="11">
        <f t="shared" si="31"/>
        <v>0</v>
      </c>
      <c r="AN139" s="11">
        <v>12</v>
      </c>
      <c r="AO139" s="11">
        <f t="shared" si="32"/>
        <v>0</v>
      </c>
      <c r="AP139" s="11">
        <f t="shared" si="33"/>
        <v>0</v>
      </c>
      <c r="AQ139" s="60" t="s">
        <v>159</v>
      </c>
      <c r="AV139" s="11">
        <f t="shared" si="34"/>
        <v>0</v>
      </c>
      <c r="AW139" s="11">
        <f t="shared" si="35"/>
        <v>0</v>
      </c>
      <c r="AX139" s="11">
        <f t="shared" si="36"/>
        <v>0</v>
      </c>
      <c r="AY139" s="60" t="s">
        <v>417</v>
      </c>
      <c r="AZ139" s="60" t="s">
        <v>368</v>
      </c>
      <c r="BA139" s="45" t="s">
        <v>165</v>
      </c>
      <c r="BC139" s="11">
        <f t="shared" si="37"/>
        <v>0</v>
      </c>
      <c r="BD139" s="11">
        <f t="shared" si="38"/>
        <v>0</v>
      </c>
      <c r="BE139" s="11">
        <v>0</v>
      </c>
      <c r="BF139" s="11">
        <f>139</f>
        <v>139</v>
      </c>
      <c r="BH139" s="11">
        <f t="shared" si="39"/>
        <v>0</v>
      </c>
      <c r="BI139" s="11">
        <f t="shared" si="40"/>
        <v>0</v>
      </c>
      <c r="BJ139" s="11">
        <f t="shared" si="41"/>
        <v>0</v>
      </c>
      <c r="BK139" s="11"/>
      <c r="BL139" s="11"/>
      <c r="BW139" s="11">
        <v>12</v>
      </c>
      <c r="BX139" s="3" t="s">
        <v>478</v>
      </c>
    </row>
    <row r="140" spans="1:76" ht="14.5" x14ac:dyDescent="0.35">
      <c r="A140" s="1" t="s">
        <v>479</v>
      </c>
      <c r="B140" s="2" t="s">
        <v>480</v>
      </c>
      <c r="C140" s="81" t="s">
        <v>481</v>
      </c>
      <c r="D140" s="74"/>
      <c r="E140" s="2" t="s">
        <v>338</v>
      </c>
      <c r="F140" s="11">
        <v>2</v>
      </c>
      <c r="G140" s="59">
        <v>0</v>
      </c>
      <c r="H140" s="11">
        <f t="shared" si="20"/>
        <v>0</v>
      </c>
      <c r="I140" s="11">
        <v>0</v>
      </c>
      <c r="J140" s="12">
        <v>0</v>
      </c>
      <c r="Z140" s="11">
        <f t="shared" si="21"/>
        <v>0</v>
      </c>
      <c r="AB140" s="11">
        <f t="shared" si="22"/>
        <v>0</v>
      </c>
      <c r="AC140" s="11">
        <f t="shared" si="23"/>
        <v>0</v>
      </c>
      <c r="AD140" s="11">
        <f t="shared" si="24"/>
        <v>0</v>
      </c>
      <c r="AE140" s="11">
        <f t="shared" si="25"/>
        <v>0</v>
      </c>
      <c r="AF140" s="11">
        <f t="shared" si="26"/>
        <v>0</v>
      </c>
      <c r="AG140" s="11">
        <f t="shared" si="27"/>
        <v>0</v>
      </c>
      <c r="AH140" s="11">
        <f t="shared" si="28"/>
        <v>0</v>
      </c>
      <c r="AI140" s="45" t="s">
        <v>21</v>
      </c>
      <c r="AJ140" s="11">
        <f t="shared" si="29"/>
        <v>0</v>
      </c>
      <c r="AK140" s="11">
        <f t="shared" si="30"/>
        <v>0</v>
      </c>
      <c r="AL140" s="11">
        <f t="shared" si="31"/>
        <v>0</v>
      </c>
      <c r="AN140" s="11">
        <v>12</v>
      </c>
      <c r="AO140" s="11">
        <f t="shared" si="32"/>
        <v>0</v>
      </c>
      <c r="AP140" s="11">
        <f t="shared" si="33"/>
        <v>0</v>
      </c>
      <c r="AQ140" s="60" t="s">
        <v>159</v>
      </c>
      <c r="AV140" s="11">
        <f t="shared" si="34"/>
        <v>0</v>
      </c>
      <c r="AW140" s="11">
        <f t="shared" si="35"/>
        <v>0</v>
      </c>
      <c r="AX140" s="11">
        <f t="shared" si="36"/>
        <v>0</v>
      </c>
      <c r="AY140" s="60" t="s">
        <v>417</v>
      </c>
      <c r="AZ140" s="60" t="s">
        <v>368</v>
      </c>
      <c r="BA140" s="45" t="s">
        <v>165</v>
      </c>
      <c r="BC140" s="11">
        <f t="shared" si="37"/>
        <v>0</v>
      </c>
      <c r="BD140" s="11">
        <f t="shared" si="38"/>
        <v>0</v>
      </c>
      <c r="BE140" s="11">
        <v>0</v>
      </c>
      <c r="BF140" s="11">
        <f>140</f>
        <v>140</v>
      </c>
      <c r="BH140" s="11">
        <f t="shared" si="39"/>
        <v>0</v>
      </c>
      <c r="BI140" s="11">
        <f t="shared" si="40"/>
        <v>0</v>
      </c>
      <c r="BJ140" s="11">
        <f t="shared" si="41"/>
        <v>0</v>
      </c>
      <c r="BK140" s="11"/>
      <c r="BL140" s="11"/>
      <c r="BW140" s="11">
        <v>12</v>
      </c>
      <c r="BX140" s="3" t="s">
        <v>481</v>
      </c>
    </row>
    <row r="141" spans="1:76" ht="14.5" x14ac:dyDescent="0.35">
      <c r="A141" s="1" t="s">
        <v>48</v>
      </c>
      <c r="B141" s="2" t="s">
        <v>482</v>
      </c>
      <c r="C141" s="81" t="s">
        <v>483</v>
      </c>
      <c r="D141" s="74"/>
      <c r="E141" s="2" t="s">
        <v>338</v>
      </c>
      <c r="F141" s="11">
        <v>14</v>
      </c>
      <c r="G141" s="59">
        <v>0</v>
      </c>
      <c r="H141" s="11">
        <f t="shared" si="20"/>
        <v>0</v>
      </c>
      <c r="I141" s="11">
        <v>0</v>
      </c>
      <c r="J141" s="12">
        <v>0</v>
      </c>
      <c r="Z141" s="11">
        <f t="shared" si="21"/>
        <v>0</v>
      </c>
      <c r="AB141" s="11">
        <f t="shared" si="22"/>
        <v>0</v>
      </c>
      <c r="AC141" s="11">
        <f t="shared" si="23"/>
        <v>0</v>
      </c>
      <c r="AD141" s="11">
        <f t="shared" si="24"/>
        <v>0</v>
      </c>
      <c r="AE141" s="11">
        <f t="shared" si="25"/>
        <v>0</v>
      </c>
      <c r="AF141" s="11">
        <f t="shared" si="26"/>
        <v>0</v>
      </c>
      <c r="AG141" s="11">
        <f t="shared" si="27"/>
        <v>0</v>
      </c>
      <c r="AH141" s="11">
        <f t="shared" si="28"/>
        <v>0</v>
      </c>
      <c r="AI141" s="45" t="s">
        <v>21</v>
      </c>
      <c r="AJ141" s="11">
        <f t="shared" si="29"/>
        <v>0</v>
      </c>
      <c r="AK141" s="11">
        <f t="shared" si="30"/>
        <v>0</v>
      </c>
      <c r="AL141" s="11">
        <f t="shared" si="31"/>
        <v>0</v>
      </c>
      <c r="AN141" s="11">
        <v>12</v>
      </c>
      <c r="AO141" s="11">
        <f t="shared" si="32"/>
        <v>0</v>
      </c>
      <c r="AP141" s="11">
        <f t="shared" si="33"/>
        <v>0</v>
      </c>
      <c r="AQ141" s="60" t="s">
        <v>159</v>
      </c>
      <c r="AV141" s="11">
        <f t="shared" si="34"/>
        <v>0</v>
      </c>
      <c r="AW141" s="11">
        <f t="shared" si="35"/>
        <v>0</v>
      </c>
      <c r="AX141" s="11">
        <f t="shared" si="36"/>
        <v>0</v>
      </c>
      <c r="AY141" s="60" t="s">
        <v>417</v>
      </c>
      <c r="AZ141" s="60" t="s">
        <v>368</v>
      </c>
      <c r="BA141" s="45" t="s">
        <v>165</v>
      </c>
      <c r="BC141" s="11">
        <f t="shared" si="37"/>
        <v>0</v>
      </c>
      <c r="BD141" s="11">
        <f t="shared" si="38"/>
        <v>0</v>
      </c>
      <c r="BE141" s="11">
        <v>0</v>
      </c>
      <c r="BF141" s="11">
        <f>141</f>
        <v>141</v>
      </c>
      <c r="BH141" s="11">
        <f t="shared" si="39"/>
        <v>0</v>
      </c>
      <c r="BI141" s="11">
        <f t="shared" si="40"/>
        <v>0</v>
      </c>
      <c r="BJ141" s="11">
        <f t="shared" si="41"/>
        <v>0</v>
      </c>
      <c r="BK141" s="11"/>
      <c r="BL141" s="11"/>
      <c r="BW141" s="11">
        <v>12</v>
      </c>
      <c r="BX141" s="3" t="s">
        <v>483</v>
      </c>
    </row>
    <row r="142" spans="1:76" ht="14.5" x14ac:dyDescent="0.35">
      <c r="A142" s="61" t="s">
        <v>21</v>
      </c>
      <c r="B142" s="62" t="s">
        <v>62</v>
      </c>
      <c r="C142" s="163" t="s">
        <v>63</v>
      </c>
      <c r="D142" s="164"/>
      <c r="E142" s="63" t="s">
        <v>13</v>
      </c>
      <c r="F142" s="63" t="s">
        <v>13</v>
      </c>
      <c r="G142" s="64" t="s">
        <v>13</v>
      </c>
      <c r="H142" s="40">
        <f>SUM(H143:H151)</f>
        <v>0</v>
      </c>
      <c r="I142" s="45" t="s">
        <v>21</v>
      </c>
      <c r="J142" s="65" t="s">
        <v>21</v>
      </c>
      <c r="AI142" s="45" t="s">
        <v>21</v>
      </c>
      <c r="AS142" s="40">
        <f>SUM(AJ143:AJ151)</f>
        <v>0</v>
      </c>
      <c r="AT142" s="40">
        <f>SUM(AK143:AK151)</f>
        <v>0</v>
      </c>
      <c r="AU142" s="40">
        <f>SUM(AL143:AL151)</f>
        <v>0</v>
      </c>
    </row>
    <row r="143" spans="1:76" ht="14.5" x14ac:dyDescent="0.35">
      <c r="A143" s="1" t="s">
        <v>50</v>
      </c>
      <c r="B143" s="2" t="s">
        <v>484</v>
      </c>
      <c r="C143" s="81" t="s">
        <v>485</v>
      </c>
      <c r="D143" s="74"/>
      <c r="E143" s="2" t="s">
        <v>412</v>
      </c>
      <c r="F143" s="11">
        <v>22.3886</v>
      </c>
      <c r="G143" s="59">
        <v>0</v>
      </c>
      <c r="H143" s="11">
        <f>F143*G143</f>
        <v>0</v>
      </c>
      <c r="I143" s="11">
        <v>0</v>
      </c>
      <c r="J143" s="12">
        <v>0</v>
      </c>
      <c r="Z143" s="11">
        <f>IF(AQ143="5",BJ143,0)</f>
        <v>0</v>
      </c>
      <c r="AB143" s="11">
        <f>IF(AQ143="1",BH143,0)</f>
        <v>0</v>
      </c>
      <c r="AC143" s="11">
        <f>IF(AQ143="1",BI143,0)</f>
        <v>0</v>
      </c>
      <c r="AD143" s="11">
        <f>IF(AQ143="7",BH143,0)</f>
        <v>0</v>
      </c>
      <c r="AE143" s="11">
        <f>IF(AQ143="7",BI143,0)</f>
        <v>0</v>
      </c>
      <c r="AF143" s="11">
        <f>IF(AQ143="2",BH143,0)</f>
        <v>0</v>
      </c>
      <c r="AG143" s="11">
        <f>IF(AQ143="2",BI143,0)</f>
        <v>0</v>
      </c>
      <c r="AH143" s="11">
        <f>IF(AQ143="0",BJ143,0)</f>
        <v>0</v>
      </c>
      <c r="AI143" s="45" t="s">
        <v>21</v>
      </c>
      <c r="AJ143" s="11">
        <f>IF(AN143=0,H143,0)</f>
        <v>0</v>
      </c>
      <c r="AK143" s="11">
        <f>IF(AN143=12,H143,0)</f>
        <v>0</v>
      </c>
      <c r="AL143" s="11">
        <f>IF(AN143=21,H143,0)</f>
        <v>0</v>
      </c>
      <c r="AN143" s="11">
        <v>12</v>
      </c>
      <c r="AO143" s="11">
        <f>G143*0</f>
        <v>0</v>
      </c>
      <c r="AP143" s="11">
        <f>G143*(1-0)</f>
        <v>0</v>
      </c>
      <c r="AQ143" s="60" t="s">
        <v>180</v>
      </c>
      <c r="AV143" s="11">
        <f>AW143+AX143</f>
        <v>0</v>
      </c>
      <c r="AW143" s="11">
        <f>F143*AO143</f>
        <v>0</v>
      </c>
      <c r="AX143" s="11">
        <f>F143*AP143</f>
        <v>0</v>
      </c>
      <c r="AY143" s="60" t="s">
        <v>486</v>
      </c>
      <c r="AZ143" s="60" t="s">
        <v>368</v>
      </c>
      <c r="BA143" s="45" t="s">
        <v>165</v>
      </c>
      <c r="BC143" s="11">
        <f>AW143+AX143</f>
        <v>0</v>
      </c>
      <c r="BD143" s="11">
        <f>G143/(100-BE143)*100</f>
        <v>0</v>
      </c>
      <c r="BE143" s="11">
        <v>0</v>
      </c>
      <c r="BF143" s="11">
        <f>143</f>
        <v>143</v>
      </c>
      <c r="BH143" s="11">
        <f>F143*AO143</f>
        <v>0</v>
      </c>
      <c r="BI143" s="11">
        <f>F143*AP143</f>
        <v>0</v>
      </c>
      <c r="BJ143" s="11">
        <f>F143*G143</f>
        <v>0</v>
      </c>
      <c r="BK143" s="11"/>
      <c r="BL143" s="11"/>
      <c r="BW143" s="11">
        <v>12</v>
      </c>
      <c r="BX143" s="3" t="s">
        <v>485</v>
      </c>
    </row>
    <row r="144" spans="1:76" ht="14.5" x14ac:dyDescent="0.35">
      <c r="A144" s="1" t="s">
        <v>52</v>
      </c>
      <c r="B144" s="2" t="s">
        <v>487</v>
      </c>
      <c r="C144" s="81" t="s">
        <v>488</v>
      </c>
      <c r="D144" s="74"/>
      <c r="E144" s="2" t="s">
        <v>412</v>
      </c>
      <c r="F144" s="11">
        <v>22.3886</v>
      </c>
      <c r="G144" s="59">
        <v>0</v>
      </c>
      <c r="H144" s="11">
        <f>F144*G144</f>
        <v>0</v>
      </c>
      <c r="I144" s="11">
        <v>0</v>
      </c>
      <c r="J144" s="12">
        <v>0</v>
      </c>
      <c r="Z144" s="11">
        <f>IF(AQ144="5",BJ144,0)</f>
        <v>0</v>
      </c>
      <c r="AB144" s="11">
        <f>IF(AQ144="1",BH144,0)</f>
        <v>0</v>
      </c>
      <c r="AC144" s="11">
        <f>IF(AQ144="1",BI144,0)</f>
        <v>0</v>
      </c>
      <c r="AD144" s="11">
        <f>IF(AQ144="7",BH144,0)</f>
        <v>0</v>
      </c>
      <c r="AE144" s="11">
        <f>IF(AQ144="7",BI144,0)</f>
        <v>0</v>
      </c>
      <c r="AF144" s="11">
        <f>IF(AQ144="2",BH144,0)</f>
        <v>0</v>
      </c>
      <c r="AG144" s="11">
        <f>IF(AQ144="2",BI144,0)</f>
        <v>0</v>
      </c>
      <c r="AH144" s="11">
        <f>IF(AQ144="0",BJ144,0)</f>
        <v>0</v>
      </c>
      <c r="AI144" s="45" t="s">
        <v>21</v>
      </c>
      <c r="AJ144" s="11">
        <f>IF(AN144=0,H144,0)</f>
        <v>0</v>
      </c>
      <c r="AK144" s="11">
        <f>IF(AN144=12,H144,0)</f>
        <v>0</v>
      </c>
      <c r="AL144" s="11">
        <f>IF(AN144=21,H144,0)</f>
        <v>0</v>
      </c>
      <c r="AN144" s="11">
        <v>12</v>
      </c>
      <c r="AO144" s="11">
        <f>G144*0</f>
        <v>0</v>
      </c>
      <c r="AP144" s="11">
        <f>G144*(1-0)</f>
        <v>0</v>
      </c>
      <c r="AQ144" s="60" t="s">
        <v>180</v>
      </c>
      <c r="AV144" s="11">
        <f>AW144+AX144</f>
        <v>0</v>
      </c>
      <c r="AW144" s="11">
        <f>F144*AO144</f>
        <v>0</v>
      </c>
      <c r="AX144" s="11">
        <f>F144*AP144</f>
        <v>0</v>
      </c>
      <c r="AY144" s="60" t="s">
        <v>486</v>
      </c>
      <c r="AZ144" s="60" t="s">
        <v>368</v>
      </c>
      <c r="BA144" s="45" t="s">
        <v>165</v>
      </c>
      <c r="BC144" s="11">
        <f>AW144+AX144</f>
        <v>0</v>
      </c>
      <c r="BD144" s="11">
        <f>G144/(100-BE144)*100</f>
        <v>0</v>
      </c>
      <c r="BE144" s="11">
        <v>0</v>
      </c>
      <c r="BF144" s="11">
        <f>144</f>
        <v>144</v>
      </c>
      <c r="BH144" s="11">
        <f>F144*AO144</f>
        <v>0</v>
      </c>
      <c r="BI144" s="11">
        <f>F144*AP144</f>
        <v>0</v>
      </c>
      <c r="BJ144" s="11">
        <f>F144*G144</f>
        <v>0</v>
      </c>
      <c r="BK144" s="11"/>
      <c r="BL144" s="11"/>
      <c r="BW144" s="11">
        <v>12</v>
      </c>
      <c r="BX144" s="3" t="s">
        <v>488</v>
      </c>
    </row>
    <row r="145" spans="1:76" ht="14.5" x14ac:dyDescent="0.35">
      <c r="A145" s="1" t="s">
        <v>54</v>
      </c>
      <c r="B145" s="2" t="s">
        <v>489</v>
      </c>
      <c r="C145" s="81" t="s">
        <v>490</v>
      </c>
      <c r="D145" s="74"/>
      <c r="E145" s="2" t="s">
        <v>412</v>
      </c>
      <c r="F145" s="11">
        <v>22.3886</v>
      </c>
      <c r="G145" s="59">
        <v>0</v>
      </c>
      <c r="H145" s="11">
        <f>F145*G145</f>
        <v>0</v>
      </c>
      <c r="I145" s="11">
        <v>0</v>
      </c>
      <c r="J145" s="12">
        <v>0</v>
      </c>
      <c r="Z145" s="11">
        <f>IF(AQ145="5",BJ145,0)</f>
        <v>0</v>
      </c>
      <c r="AB145" s="11">
        <f>IF(AQ145="1",BH145,0)</f>
        <v>0</v>
      </c>
      <c r="AC145" s="11">
        <f>IF(AQ145="1",BI145,0)</f>
        <v>0</v>
      </c>
      <c r="AD145" s="11">
        <f>IF(AQ145="7",BH145,0)</f>
        <v>0</v>
      </c>
      <c r="AE145" s="11">
        <f>IF(AQ145="7",BI145,0)</f>
        <v>0</v>
      </c>
      <c r="AF145" s="11">
        <f>IF(AQ145="2",BH145,0)</f>
        <v>0</v>
      </c>
      <c r="AG145" s="11">
        <f>IF(AQ145="2",BI145,0)</f>
        <v>0</v>
      </c>
      <c r="AH145" s="11">
        <f>IF(AQ145="0",BJ145,0)</f>
        <v>0</v>
      </c>
      <c r="AI145" s="45" t="s">
        <v>21</v>
      </c>
      <c r="AJ145" s="11">
        <f>IF(AN145=0,H145,0)</f>
        <v>0</v>
      </c>
      <c r="AK145" s="11">
        <f>IF(AN145=12,H145,0)</f>
        <v>0</v>
      </c>
      <c r="AL145" s="11">
        <f>IF(AN145=21,H145,0)</f>
        <v>0</v>
      </c>
      <c r="AN145" s="11">
        <v>12</v>
      </c>
      <c r="AO145" s="11">
        <f>G145*0</f>
        <v>0</v>
      </c>
      <c r="AP145" s="11">
        <f>G145*(1-0)</f>
        <v>0</v>
      </c>
      <c r="AQ145" s="60" t="s">
        <v>180</v>
      </c>
      <c r="AV145" s="11">
        <f>AW145+AX145</f>
        <v>0</v>
      </c>
      <c r="AW145" s="11">
        <f>F145*AO145</f>
        <v>0</v>
      </c>
      <c r="AX145" s="11">
        <f>F145*AP145</f>
        <v>0</v>
      </c>
      <c r="AY145" s="60" t="s">
        <v>486</v>
      </c>
      <c r="AZ145" s="60" t="s">
        <v>368</v>
      </c>
      <c r="BA145" s="45" t="s">
        <v>165</v>
      </c>
      <c r="BC145" s="11">
        <f>AW145+AX145</f>
        <v>0</v>
      </c>
      <c r="BD145" s="11">
        <f>G145/(100-BE145)*100</f>
        <v>0</v>
      </c>
      <c r="BE145" s="11">
        <v>0</v>
      </c>
      <c r="BF145" s="11">
        <f>145</f>
        <v>145</v>
      </c>
      <c r="BH145" s="11">
        <f>F145*AO145</f>
        <v>0</v>
      </c>
      <c r="BI145" s="11">
        <f>F145*AP145</f>
        <v>0</v>
      </c>
      <c r="BJ145" s="11">
        <f>F145*G145</f>
        <v>0</v>
      </c>
      <c r="BK145" s="11"/>
      <c r="BL145" s="11"/>
      <c r="BW145" s="11">
        <v>12</v>
      </c>
      <c r="BX145" s="3" t="s">
        <v>490</v>
      </c>
    </row>
    <row r="146" spans="1:76" ht="14.5" x14ac:dyDescent="0.35">
      <c r="A146" s="1" t="s">
        <v>56</v>
      </c>
      <c r="B146" s="2" t="s">
        <v>491</v>
      </c>
      <c r="C146" s="81" t="s">
        <v>492</v>
      </c>
      <c r="D146" s="74"/>
      <c r="E146" s="2" t="s">
        <v>412</v>
      </c>
      <c r="F146" s="11">
        <v>22.3886</v>
      </c>
      <c r="G146" s="59">
        <v>0</v>
      </c>
      <c r="H146" s="11">
        <f>F146*G146</f>
        <v>0</v>
      </c>
      <c r="I146" s="11">
        <v>0</v>
      </c>
      <c r="J146" s="12">
        <v>0</v>
      </c>
      <c r="Z146" s="11">
        <f>IF(AQ146="5",BJ146,0)</f>
        <v>0</v>
      </c>
      <c r="AB146" s="11">
        <f>IF(AQ146="1",BH146,0)</f>
        <v>0</v>
      </c>
      <c r="AC146" s="11">
        <f>IF(AQ146="1",BI146,0)</f>
        <v>0</v>
      </c>
      <c r="AD146" s="11">
        <f>IF(AQ146="7",BH146,0)</f>
        <v>0</v>
      </c>
      <c r="AE146" s="11">
        <f>IF(AQ146="7",BI146,0)</f>
        <v>0</v>
      </c>
      <c r="AF146" s="11">
        <f>IF(AQ146="2",BH146,0)</f>
        <v>0</v>
      </c>
      <c r="AG146" s="11">
        <f>IF(AQ146="2",BI146,0)</f>
        <v>0</v>
      </c>
      <c r="AH146" s="11">
        <f>IF(AQ146="0",BJ146,0)</f>
        <v>0</v>
      </c>
      <c r="AI146" s="45" t="s">
        <v>21</v>
      </c>
      <c r="AJ146" s="11">
        <f>IF(AN146=0,H146,0)</f>
        <v>0</v>
      </c>
      <c r="AK146" s="11">
        <f>IF(AN146=12,H146,0)</f>
        <v>0</v>
      </c>
      <c r="AL146" s="11">
        <f>IF(AN146=21,H146,0)</f>
        <v>0</v>
      </c>
      <c r="AN146" s="11">
        <v>12</v>
      </c>
      <c r="AO146" s="11">
        <f>G146*0</f>
        <v>0</v>
      </c>
      <c r="AP146" s="11">
        <f>G146*(1-0)</f>
        <v>0</v>
      </c>
      <c r="AQ146" s="60" t="s">
        <v>180</v>
      </c>
      <c r="AV146" s="11">
        <f>AW146+AX146</f>
        <v>0</v>
      </c>
      <c r="AW146" s="11">
        <f>F146*AO146</f>
        <v>0</v>
      </c>
      <c r="AX146" s="11">
        <f>F146*AP146</f>
        <v>0</v>
      </c>
      <c r="AY146" s="60" t="s">
        <v>486</v>
      </c>
      <c r="AZ146" s="60" t="s">
        <v>368</v>
      </c>
      <c r="BA146" s="45" t="s">
        <v>165</v>
      </c>
      <c r="BC146" s="11">
        <f>AW146+AX146</f>
        <v>0</v>
      </c>
      <c r="BD146" s="11">
        <f>G146/(100-BE146)*100</f>
        <v>0</v>
      </c>
      <c r="BE146" s="11">
        <v>0</v>
      </c>
      <c r="BF146" s="11">
        <f>146</f>
        <v>146</v>
      </c>
      <c r="BH146" s="11">
        <f>F146*AO146</f>
        <v>0</v>
      </c>
      <c r="BI146" s="11">
        <f>F146*AP146</f>
        <v>0</v>
      </c>
      <c r="BJ146" s="11">
        <f>F146*G146</f>
        <v>0</v>
      </c>
      <c r="BK146" s="11"/>
      <c r="BL146" s="11"/>
      <c r="BW146" s="11">
        <v>12</v>
      </c>
      <c r="BX146" s="3" t="s">
        <v>492</v>
      </c>
    </row>
    <row r="147" spans="1:76" ht="13.5" customHeight="1" x14ac:dyDescent="0.35">
      <c r="A147" s="66"/>
      <c r="B147" s="67" t="s">
        <v>175</v>
      </c>
      <c r="C147" s="165" t="s">
        <v>493</v>
      </c>
      <c r="D147" s="166"/>
      <c r="E147" s="166"/>
      <c r="F147" s="166"/>
      <c r="G147" s="167"/>
      <c r="H147" s="166"/>
      <c r="I147" s="166"/>
      <c r="J147" s="168"/>
    </row>
    <row r="148" spans="1:76" ht="14.5" x14ac:dyDescent="0.35">
      <c r="A148" s="1" t="s">
        <v>494</v>
      </c>
      <c r="B148" s="2" t="s">
        <v>495</v>
      </c>
      <c r="C148" s="81" t="s">
        <v>496</v>
      </c>
      <c r="D148" s="74"/>
      <c r="E148" s="2" t="s">
        <v>412</v>
      </c>
      <c r="F148" s="11">
        <v>380.6062</v>
      </c>
      <c r="G148" s="59">
        <v>0</v>
      </c>
      <c r="H148" s="11">
        <f>F148*G148</f>
        <v>0</v>
      </c>
      <c r="I148" s="11">
        <v>0</v>
      </c>
      <c r="J148" s="12">
        <v>0</v>
      </c>
      <c r="Z148" s="11">
        <f>IF(AQ148="5",BJ148,0)</f>
        <v>0</v>
      </c>
      <c r="AB148" s="11">
        <f>IF(AQ148="1",BH148,0)</f>
        <v>0</v>
      </c>
      <c r="AC148" s="11">
        <f>IF(AQ148="1",BI148,0)</f>
        <v>0</v>
      </c>
      <c r="AD148" s="11">
        <f>IF(AQ148="7",BH148,0)</f>
        <v>0</v>
      </c>
      <c r="AE148" s="11">
        <f>IF(AQ148="7",BI148,0)</f>
        <v>0</v>
      </c>
      <c r="AF148" s="11">
        <f>IF(AQ148="2",BH148,0)</f>
        <v>0</v>
      </c>
      <c r="AG148" s="11">
        <f>IF(AQ148="2",BI148,0)</f>
        <v>0</v>
      </c>
      <c r="AH148" s="11">
        <f>IF(AQ148="0",BJ148,0)</f>
        <v>0</v>
      </c>
      <c r="AI148" s="45" t="s">
        <v>21</v>
      </c>
      <c r="AJ148" s="11">
        <f>IF(AN148=0,H148,0)</f>
        <v>0</v>
      </c>
      <c r="AK148" s="11">
        <f>IF(AN148=12,H148,0)</f>
        <v>0</v>
      </c>
      <c r="AL148" s="11">
        <f>IF(AN148=21,H148,0)</f>
        <v>0</v>
      </c>
      <c r="AN148" s="11">
        <v>12</v>
      </c>
      <c r="AO148" s="11">
        <f>G148*0</f>
        <v>0</v>
      </c>
      <c r="AP148" s="11">
        <f>G148*(1-0)</f>
        <v>0</v>
      </c>
      <c r="AQ148" s="60" t="s">
        <v>180</v>
      </c>
      <c r="AV148" s="11">
        <f>AW148+AX148</f>
        <v>0</v>
      </c>
      <c r="AW148" s="11">
        <f>F148*AO148</f>
        <v>0</v>
      </c>
      <c r="AX148" s="11">
        <f>F148*AP148</f>
        <v>0</v>
      </c>
      <c r="AY148" s="60" t="s">
        <v>486</v>
      </c>
      <c r="AZ148" s="60" t="s">
        <v>368</v>
      </c>
      <c r="BA148" s="45" t="s">
        <v>165</v>
      </c>
      <c r="BC148" s="11">
        <f>AW148+AX148</f>
        <v>0</v>
      </c>
      <c r="BD148" s="11">
        <f>G148/(100-BE148)*100</f>
        <v>0</v>
      </c>
      <c r="BE148" s="11">
        <v>0</v>
      </c>
      <c r="BF148" s="11">
        <f>148</f>
        <v>148</v>
      </c>
      <c r="BH148" s="11">
        <f>F148*AO148</f>
        <v>0</v>
      </c>
      <c r="BI148" s="11">
        <f>F148*AP148</f>
        <v>0</v>
      </c>
      <c r="BJ148" s="11">
        <f>F148*G148</f>
        <v>0</v>
      </c>
      <c r="BK148" s="11"/>
      <c r="BL148" s="11"/>
      <c r="BW148" s="11">
        <v>12</v>
      </c>
      <c r="BX148" s="3" t="s">
        <v>496</v>
      </c>
    </row>
    <row r="149" spans="1:76" ht="13.5" customHeight="1" x14ac:dyDescent="0.35">
      <c r="A149" s="66"/>
      <c r="B149" s="67" t="s">
        <v>175</v>
      </c>
      <c r="C149" s="165" t="s">
        <v>493</v>
      </c>
      <c r="D149" s="166"/>
      <c r="E149" s="166"/>
      <c r="F149" s="166"/>
      <c r="G149" s="167"/>
      <c r="H149" s="166"/>
      <c r="I149" s="166"/>
      <c r="J149" s="168"/>
    </row>
    <row r="150" spans="1:76" ht="14.5" x14ac:dyDescent="0.35">
      <c r="A150" s="1" t="s">
        <v>497</v>
      </c>
      <c r="B150" s="2" t="s">
        <v>498</v>
      </c>
      <c r="C150" s="81" t="s">
        <v>499</v>
      </c>
      <c r="D150" s="74"/>
      <c r="E150" s="2" t="s">
        <v>381</v>
      </c>
      <c r="F150" s="11">
        <v>10</v>
      </c>
      <c r="G150" s="59">
        <v>0</v>
      </c>
      <c r="H150" s="11">
        <f>F150*G150</f>
        <v>0</v>
      </c>
      <c r="I150" s="11">
        <v>0</v>
      </c>
      <c r="J150" s="12">
        <v>0</v>
      </c>
      <c r="Z150" s="11">
        <f>IF(AQ150="5",BJ150,0)</f>
        <v>0</v>
      </c>
      <c r="AB150" s="11">
        <f>IF(AQ150="1",BH150,0)</f>
        <v>0</v>
      </c>
      <c r="AC150" s="11">
        <f>IF(AQ150="1",BI150,0)</f>
        <v>0</v>
      </c>
      <c r="AD150" s="11">
        <f>IF(AQ150="7",BH150,0)</f>
        <v>0</v>
      </c>
      <c r="AE150" s="11">
        <f>IF(AQ150="7",BI150,0)</f>
        <v>0</v>
      </c>
      <c r="AF150" s="11">
        <f>IF(AQ150="2",BH150,0)</f>
        <v>0</v>
      </c>
      <c r="AG150" s="11">
        <f>IF(AQ150="2",BI150,0)</f>
        <v>0</v>
      </c>
      <c r="AH150" s="11">
        <f>IF(AQ150="0",BJ150,0)</f>
        <v>0</v>
      </c>
      <c r="AI150" s="45" t="s">
        <v>21</v>
      </c>
      <c r="AJ150" s="11">
        <f>IF(AN150=0,H150,0)</f>
        <v>0</v>
      </c>
      <c r="AK150" s="11">
        <f>IF(AN150=12,H150,0)</f>
        <v>0</v>
      </c>
      <c r="AL150" s="11">
        <f>IF(AN150=21,H150,0)</f>
        <v>0</v>
      </c>
      <c r="AN150" s="11">
        <v>12</v>
      </c>
      <c r="AO150" s="11">
        <f>G150*0</f>
        <v>0</v>
      </c>
      <c r="AP150" s="11">
        <f>G150*(1-0)</f>
        <v>0</v>
      </c>
      <c r="AQ150" s="60" t="s">
        <v>159</v>
      </c>
      <c r="AV150" s="11">
        <f>AW150+AX150</f>
        <v>0</v>
      </c>
      <c r="AW150" s="11">
        <f>F150*AO150</f>
        <v>0</v>
      </c>
      <c r="AX150" s="11">
        <f>F150*AP150</f>
        <v>0</v>
      </c>
      <c r="AY150" s="60" t="s">
        <v>486</v>
      </c>
      <c r="AZ150" s="60" t="s">
        <v>368</v>
      </c>
      <c r="BA150" s="45" t="s">
        <v>165</v>
      </c>
      <c r="BC150" s="11">
        <f>AW150+AX150</f>
        <v>0</v>
      </c>
      <c r="BD150" s="11">
        <f>G150/(100-BE150)*100</f>
        <v>0</v>
      </c>
      <c r="BE150" s="11">
        <v>0</v>
      </c>
      <c r="BF150" s="11">
        <f>150</f>
        <v>150</v>
      </c>
      <c r="BH150" s="11">
        <f>F150*AO150</f>
        <v>0</v>
      </c>
      <c r="BI150" s="11">
        <f>F150*AP150</f>
        <v>0</v>
      </c>
      <c r="BJ150" s="11">
        <f>F150*G150</f>
        <v>0</v>
      </c>
      <c r="BK150" s="11"/>
      <c r="BL150" s="11"/>
      <c r="BW150" s="11">
        <v>12</v>
      </c>
      <c r="BX150" s="3" t="s">
        <v>499</v>
      </c>
    </row>
    <row r="151" spans="1:76" ht="14.5" x14ac:dyDescent="0.35">
      <c r="A151" s="1" t="s">
        <v>500</v>
      </c>
      <c r="B151" s="2" t="s">
        <v>501</v>
      </c>
      <c r="C151" s="81" t="s">
        <v>502</v>
      </c>
      <c r="D151" s="74"/>
      <c r="E151" s="2" t="s">
        <v>412</v>
      </c>
      <c r="F151" s="11">
        <v>22.3886</v>
      </c>
      <c r="G151" s="59">
        <v>0</v>
      </c>
      <c r="H151" s="11">
        <f>F151*G151</f>
        <v>0</v>
      </c>
      <c r="I151" s="11">
        <v>0</v>
      </c>
      <c r="J151" s="12">
        <v>0</v>
      </c>
      <c r="Z151" s="11">
        <f>IF(AQ151="5",BJ151,0)</f>
        <v>0</v>
      </c>
      <c r="AB151" s="11">
        <f>IF(AQ151="1",BH151,0)</f>
        <v>0</v>
      </c>
      <c r="AC151" s="11">
        <f>IF(AQ151="1",BI151,0)</f>
        <v>0</v>
      </c>
      <c r="AD151" s="11">
        <f>IF(AQ151="7",BH151,0)</f>
        <v>0</v>
      </c>
      <c r="AE151" s="11">
        <f>IF(AQ151="7",BI151,0)</f>
        <v>0</v>
      </c>
      <c r="AF151" s="11">
        <f>IF(AQ151="2",BH151,0)</f>
        <v>0</v>
      </c>
      <c r="AG151" s="11">
        <f>IF(AQ151="2",BI151,0)</f>
        <v>0</v>
      </c>
      <c r="AH151" s="11">
        <f>IF(AQ151="0",BJ151,0)</f>
        <v>0</v>
      </c>
      <c r="AI151" s="45" t="s">
        <v>21</v>
      </c>
      <c r="AJ151" s="11">
        <f>IF(AN151=0,H151,0)</f>
        <v>0</v>
      </c>
      <c r="AK151" s="11">
        <f>IF(AN151=12,H151,0)</f>
        <v>0</v>
      </c>
      <c r="AL151" s="11">
        <f>IF(AN151=21,H151,0)</f>
        <v>0</v>
      </c>
      <c r="AN151" s="11">
        <v>12</v>
      </c>
      <c r="AO151" s="11">
        <f>G151*0</f>
        <v>0</v>
      </c>
      <c r="AP151" s="11">
        <f>G151*(1-0)</f>
        <v>0</v>
      </c>
      <c r="AQ151" s="60" t="s">
        <v>180</v>
      </c>
      <c r="AV151" s="11">
        <f>AW151+AX151</f>
        <v>0</v>
      </c>
      <c r="AW151" s="11">
        <f>F151*AO151</f>
        <v>0</v>
      </c>
      <c r="AX151" s="11">
        <f>F151*AP151</f>
        <v>0</v>
      </c>
      <c r="AY151" s="60" t="s">
        <v>486</v>
      </c>
      <c r="AZ151" s="60" t="s">
        <v>368</v>
      </c>
      <c r="BA151" s="45" t="s">
        <v>165</v>
      </c>
      <c r="BC151" s="11">
        <f>AW151+AX151</f>
        <v>0</v>
      </c>
      <c r="BD151" s="11">
        <f>G151/(100-BE151)*100</f>
        <v>0</v>
      </c>
      <c r="BE151" s="11">
        <v>0</v>
      </c>
      <c r="BF151" s="11">
        <f>151</f>
        <v>151</v>
      </c>
      <c r="BH151" s="11">
        <f>F151*AO151</f>
        <v>0</v>
      </c>
      <c r="BI151" s="11">
        <f>F151*AP151</f>
        <v>0</v>
      </c>
      <c r="BJ151" s="11">
        <f>F151*G151</f>
        <v>0</v>
      </c>
      <c r="BK151" s="11"/>
      <c r="BL151" s="11"/>
      <c r="BW151" s="11">
        <v>12</v>
      </c>
      <c r="BX151" s="3" t="s">
        <v>502</v>
      </c>
    </row>
    <row r="152" spans="1:76" ht="14.5" x14ac:dyDescent="0.35">
      <c r="A152" s="61" t="s">
        <v>21</v>
      </c>
      <c r="B152" s="62" t="s">
        <v>64</v>
      </c>
      <c r="C152" s="163" t="s">
        <v>65</v>
      </c>
      <c r="D152" s="164"/>
      <c r="E152" s="63" t="s">
        <v>13</v>
      </c>
      <c r="F152" s="63" t="s">
        <v>13</v>
      </c>
      <c r="G152" s="64" t="s">
        <v>13</v>
      </c>
      <c r="H152" s="40">
        <f>SUM(H153:H156)</f>
        <v>0</v>
      </c>
      <c r="I152" s="45" t="s">
        <v>21</v>
      </c>
      <c r="J152" s="65" t="s">
        <v>21</v>
      </c>
      <c r="AI152" s="45" t="s">
        <v>21</v>
      </c>
      <c r="AS152" s="40">
        <f>SUM(AJ153:AJ156)</f>
        <v>0</v>
      </c>
      <c r="AT152" s="40">
        <f>SUM(AK153:AK156)</f>
        <v>0</v>
      </c>
      <c r="AU152" s="40">
        <f>SUM(AL153:AL156)</f>
        <v>0</v>
      </c>
    </row>
    <row r="153" spans="1:76" ht="25" x14ac:dyDescent="0.35">
      <c r="A153" s="1" t="s">
        <v>503</v>
      </c>
      <c r="B153" s="2" t="s">
        <v>504</v>
      </c>
      <c r="C153" s="81" t="s">
        <v>505</v>
      </c>
      <c r="D153" s="74"/>
      <c r="E153" s="2" t="s">
        <v>224</v>
      </c>
      <c r="F153" s="11">
        <v>1</v>
      </c>
      <c r="G153" s="59">
        <v>0</v>
      </c>
      <c r="H153" s="11">
        <f>F153*G153</f>
        <v>0</v>
      </c>
      <c r="I153" s="11">
        <v>0</v>
      </c>
      <c r="J153" s="12">
        <v>0</v>
      </c>
      <c r="Z153" s="11">
        <f>IF(AQ153="5",BJ153,0)</f>
        <v>0</v>
      </c>
      <c r="AB153" s="11">
        <f>IF(AQ153="1",BH153,0)</f>
        <v>0</v>
      </c>
      <c r="AC153" s="11">
        <f>IF(AQ153="1",BI153,0)</f>
        <v>0</v>
      </c>
      <c r="AD153" s="11">
        <f>IF(AQ153="7",BH153,0)</f>
        <v>0</v>
      </c>
      <c r="AE153" s="11">
        <f>IF(AQ153="7",BI153,0)</f>
        <v>0</v>
      </c>
      <c r="AF153" s="11">
        <f>IF(AQ153="2",BH153,0)</f>
        <v>0</v>
      </c>
      <c r="AG153" s="11">
        <f>IF(AQ153="2",BI153,0)</f>
        <v>0</v>
      </c>
      <c r="AH153" s="11">
        <f>IF(AQ153="0",BJ153,0)</f>
        <v>0</v>
      </c>
      <c r="AI153" s="45" t="s">
        <v>21</v>
      </c>
      <c r="AJ153" s="11">
        <f>IF(AN153=0,H153,0)</f>
        <v>0</v>
      </c>
      <c r="AK153" s="11">
        <f>IF(AN153=12,H153,0)</f>
        <v>0</v>
      </c>
      <c r="AL153" s="11">
        <f>IF(AN153=21,H153,0)</f>
        <v>0</v>
      </c>
      <c r="AN153" s="11">
        <v>12</v>
      </c>
      <c r="AO153" s="11">
        <f>G153*0</f>
        <v>0</v>
      </c>
      <c r="AP153" s="11">
        <f>G153*(1-0)</f>
        <v>0</v>
      </c>
      <c r="AQ153" s="60" t="s">
        <v>159</v>
      </c>
      <c r="AV153" s="11">
        <f>AW153+AX153</f>
        <v>0</v>
      </c>
      <c r="AW153" s="11">
        <f>F153*AO153</f>
        <v>0</v>
      </c>
      <c r="AX153" s="11">
        <f>F153*AP153</f>
        <v>0</v>
      </c>
      <c r="AY153" s="60" t="s">
        <v>506</v>
      </c>
      <c r="AZ153" s="60" t="s">
        <v>507</v>
      </c>
      <c r="BA153" s="45" t="s">
        <v>165</v>
      </c>
      <c r="BC153" s="11">
        <f>AW153+AX153</f>
        <v>0</v>
      </c>
      <c r="BD153" s="11">
        <f>G153/(100-BE153)*100</f>
        <v>0</v>
      </c>
      <c r="BE153" s="11">
        <v>0</v>
      </c>
      <c r="BF153" s="11">
        <f>153</f>
        <v>153</v>
      </c>
      <c r="BH153" s="11">
        <f>F153*AO153</f>
        <v>0</v>
      </c>
      <c r="BI153" s="11">
        <f>F153*AP153</f>
        <v>0</v>
      </c>
      <c r="BJ153" s="11">
        <f>F153*G153</f>
        <v>0</v>
      </c>
      <c r="BK153" s="11"/>
      <c r="BL153" s="11"/>
      <c r="BW153" s="11">
        <v>12</v>
      </c>
      <c r="BX153" s="3" t="s">
        <v>505</v>
      </c>
    </row>
    <row r="154" spans="1:76" ht="25" x14ac:dyDescent="0.35">
      <c r="A154" s="1" t="s">
        <v>508</v>
      </c>
      <c r="B154" s="2" t="s">
        <v>509</v>
      </c>
      <c r="C154" s="81" t="s">
        <v>510</v>
      </c>
      <c r="D154" s="74"/>
      <c r="E154" s="2" t="s">
        <v>224</v>
      </c>
      <c r="F154" s="11">
        <v>1</v>
      </c>
      <c r="G154" s="59">
        <v>0</v>
      </c>
      <c r="H154" s="11">
        <f>F154*G154</f>
        <v>0</v>
      </c>
      <c r="I154" s="11">
        <v>0</v>
      </c>
      <c r="J154" s="12">
        <v>0</v>
      </c>
      <c r="Z154" s="11">
        <f>IF(AQ154="5",BJ154,0)</f>
        <v>0</v>
      </c>
      <c r="AB154" s="11">
        <f>IF(AQ154="1",BH154,0)</f>
        <v>0</v>
      </c>
      <c r="AC154" s="11">
        <f>IF(AQ154="1",BI154,0)</f>
        <v>0</v>
      </c>
      <c r="AD154" s="11">
        <f>IF(AQ154="7",BH154,0)</f>
        <v>0</v>
      </c>
      <c r="AE154" s="11">
        <f>IF(AQ154="7",BI154,0)</f>
        <v>0</v>
      </c>
      <c r="AF154" s="11">
        <f>IF(AQ154="2",BH154,0)</f>
        <v>0</v>
      </c>
      <c r="AG154" s="11">
        <f>IF(AQ154="2",BI154,0)</f>
        <v>0</v>
      </c>
      <c r="AH154" s="11">
        <f>IF(AQ154="0",BJ154,0)</f>
        <v>0</v>
      </c>
      <c r="AI154" s="45" t="s">
        <v>21</v>
      </c>
      <c r="AJ154" s="11">
        <f>IF(AN154=0,H154,0)</f>
        <v>0</v>
      </c>
      <c r="AK154" s="11">
        <f>IF(AN154=12,H154,0)</f>
        <v>0</v>
      </c>
      <c r="AL154" s="11">
        <f>IF(AN154=21,H154,0)</f>
        <v>0</v>
      </c>
      <c r="AN154" s="11">
        <v>12</v>
      </c>
      <c r="AO154" s="11">
        <f>G154*0</f>
        <v>0</v>
      </c>
      <c r="AP154" s="11">
        <f>G154*(1-0)</f>
        <v>0</v>
      </c>
      <c r="AQ154" s="60" t="s">
        <v>159</v>
      </c>
      <c r="AV154" s="11">
        <f>AW154+AX154</f>
        <v>0</v>
      </c>
      <c r="AW154" s="11">
        <f>F154*AO154</f>
        <v>0</v>
      </c>
      <c r="AX154" s="11">
        <f>F154*AP154</f>
        <v>0</v>
      </c>
      <c r="AY154" s="60" t="s">
        <v>506</v>
      </c>
      <c r="AZ154" s="60" t="s">
        <v>507</v>
      </c>
      <c r="BA154" s="45" t="s">
        <v>165</v>
      </c>
      <c r="BC154" s="11">
        <f>AW154+AX154</f>
        <v>0</v>
      </c>
      <c r="BD154" s="11">
        <f>G154/(100-BE154)*100</f>
        <v>0</v>
      </c>
      <c r="BE154" s="11">
        <v>0</v>
      </c>
      <c r="BF154" s="11">
        <f>154</f>
        <v>154</v>
      </c>
      <c r="BH154" s="11">
        <f>F154*AO154</f>
        <v>0</v>
      </c>
      <c r="BI154" s="11">
        <f>F154*AP154</f>
        <v>0</v>
      </c>
      <c r="BJ154" s="11">
        <f>F154*G154</f>
        <v>0</v>
      </c>
      <c r="BK154" s="11"/>
      <c r="BL154" s="11"/>
      <c r="BW154" s="11">
        <v>12</v>
      </c>
      <c r="BX154" s="3" t="s">
        <v>510</v>
      </c>
    </row>
    <row r="155" spans="1:76" ht="25" x14ac:dyDescent="0.35">
      <c r="A155" s="1" t="s">
        <v>511</v>
      </c>
      <c r="B155" s="2" t="s">
        <v>512</v>
      </c>
      <c r="C155" s="81" t="s">
        <v>513</v>
      </c>
      <c r="D155" s="74"/>
      <c r="E155" s="2" t="s">
        <v>224</v>
      </c>
      <c r="F155" s="11">
        <v>1</v>
      </c>
      <c r="G155" s="59">
        <v>0</v>
      </c>
      <c r="H155" s="11">
        <f>F155*G155</f>
        <v>0</v>
      </c>
      <c r="I155" s="11">
        <v>0</v>
      </c>
      <c r="J155" s="12">
        <v>0</v>
      </c>
      <c r="Z155" s="11">
        <f>IF(AQ155="5",BJ155,0)</f>
        <v>0</v>
      </c>
      <c r="AB155" s="11">
        <f>IF(AQ155="1",BH155,0)</f>
        <v>0</v>
      </c>
      <c r="AC155" s="11">
        <f>IF(AQ155="1",BI155,0)</f>
        <v>0</v>
      </c>
      <c r="AD155" s="11">
        <f>IF(AQ155="7",BH155,0)</f>
        <v>0</v>
      </c>
      <c r="AE155" s="11">
        <f>IF(AQ155="7",BI155,0)</f>
        <v>0</v>
      </c>
      <c r="AF155" s="11">
        <f>IF(AQ155="2",BH155,0)</f>
        <v>0</v>
      </c>
      <c r="AG155" s="11">
        <f>IF(AQ155="2",BI155,0)</f>
        <v>0</v>
      </c>
      <c r="AH155" s="11">
        <f>IF(AQ155="0",BJ155,0)</f>
        <v>0</v>
      </c>
      <c r="AI155" s="45" t="s">
        <v>21</v>
      </c>
      <c r="AJ155" s="11">
        <f>IF(AN155=0,H155,0)</f>
        <v>0</v>
      </c>
      <c r="AK155" s="11">
        <f>IF(AN155=12,H155,0)</f>
        <v>0</v>
      </c>
      <c r="AL155" s="11">
        <f>IF(AN155=21,H155,0)</f>
        <v>0</v>
      </c>
      <c r="AN155" s="11">
        <v>12</v>
      </c>
      <c r="AO155" s="11">
        <f>G155*0</f>
        <v>0</v>
      </c>
      <c r="AP155" s="11">
        <f>G155*(1-0)</f>
        <v>0</v>
      </c>
      <c r="AQ155" s="60" t="s">
        <v>159</v>
      </c>
      <c r="AV155" s="11">
        <f>AW155+AX155</f>
        <v>0</v>
      </c>
      <c r="AW155" s="11">
        <f>F155*AO155</f>
        <v>0</v>
      </c>
      <c r="AX155" s="11">
        <f>F155*AP155</f>
        <v>0</v>
      </c>
      <c r="AY155" s="60" t="s">
        <v>506</v>
      </c>
      <c r="AZ155" s="60" t="s">
        <v>507</v>
      </c>
      <c r="BA155" s="45" t="s">
        <v>165</v>
      </c>
      <c r="BC155" s="11">
        <f>AW155+AX155</f>
        <v>0</v>
      </c>
      <c r="BD155" s="11">
        <f>G155/(100-BE155)*100</f>
        <v>0</v>
      </c>
      <c r="BE155" s="11">
        <v>0</v>
      </c>
      <c r="BF155" s="11">
        <f>155</f>
        <v>155</v>
      </c>
      <c r="BH155" s="11">
        <f>F155*AO155</f>
        <v>0</v>
      </c>
      <c r="BI155" s="11">
        <f>F155*AP155</f>
        <v>0</v>
      </c>
      <c r="BJ155" s="11">
        <f>F155*G155</f>
        <v>0</v>
      </c>
      <c r="BK155" s="11"/>
      <c r="BL155" s="11"/>
      <c r="BW155" s="11">
        <v>12</v>
      </c>
      <c r="BX155" s="3" t="s">
        <v>513</v>
      </c>
    </row>
    <row r="156" spans="1:76" ht="14.5" x14ac:dyDescent="0.35">
      <c r="A156" s="1" t="s">
        <v>514</v>
      </c>
      <c r="B156" s="2" t="s">
        <v>515</v>
      </c>
      <c r="C156" s="81" t="s">
        <v>516</v>
      </c>
      <c r="D156" s="74"/>
      <c r="E156" s="2" t="s">
        <v>224</v>
      </c>
      <c r="F156" s="11">
        <v>1</v>
      </c>
      <c r="G156" s="59">
        <v>0</v>
      </c>
      <c r="H156" s="11">
        <f>F156*G156</f>
        <v>0</v>
      </c>
      <c r="I156" s="11">
        <v>0</v>
      </c>
      <c r="J156" s="12">
        <v>0</v>
      </c>
      <c r="Z156" s="11">
        <f>IF(AQ156="5",BJ156,0)</f>
        <v>0</v>
      </c>
      <c r="AB156" s="11">
        <f>IF(AQ156="1",BH156,0)</f>
        <v>0</v>
      </c>
      <c r="AC156" s="11">
        <f>IF(AQ156="1",BI156,0)</f>
        <v>0</v>
      </c>
      <c r="AD156" s="11">
        <f>IF(AQ156="7",BH156,0)</f>
        <v>0</v>
      </c>
      <c r="AE156" s="11">
        <f>IF(AQ156="7",BI156,0)</f>
        <v>0</v>
      </c>
      <c r="AF156" s="11">
        <f>IF(AQ156="2",BH156,0)</f>
        <v>0</v>
      </c>
      <c r="AG156" s="11">
        <f>IF(AQ156="2",BI156,0)</f>
        <v>0</v>
      </c>
      <c r="AH156" s="11">
        <f>IF(AQ156="0",BJ156,0)</f>
        <v>0</v>
      </c>
      <c r="AI156" s="45" t="s">
        <v>21</v>
      </c>
      <c r="AJ156" s="11">
        <f>IF(AN156=0,H156,0)</f>
        <v>0</v>
      </c>
      <c r="AK156" s="11">
        <f>IF(AN156=12,H156,0)</f>
        <v>0</v>
      </c>
      <c r="AL156" s="11">
        <f>IF(AN156=21,H156,0)</f>
        <v>0</v>
      </c>
      <c r="AN156" s="11">
        <v>12</v>
      </c>
      <c r="AO156" s="11">
        <f>G156*0</f>
        <v>0</v>
      </c>
      <c r="AP156" s="11">
        <f>G156*(1-0)</f>
        <v>0</v>
      </c>
      <c r="AQ156" s="60" t="s">
        <v>159</v>
      </c>
      <c r="AV156" s="11">
        <f>AW156+AX156</f>
        <v>0</v>
      </c>
      <c r="AW156" s="11">
        <f>F156*AO156</f>
        <v>0</v>
      </c>
      <c r="AX156" s="11">
        <f>F156*AP156</f>
        <v>0</v>
      </c>
      <c r="AY156" s="60" t="s">
        <v>506</v>
      </c>
      <c r="AZ156" s="60" t="s">
        <v>507</v>
      </c>
      <c r="BA156" s="45" t="s">
        <v>165</v>
      </c>
      <c r="BC156" s="11">
        <f>AW156+AX156</f>
        <v>0</v>
      </c>
      <c r="BD156" s="11">
        <f>G156/(100-BE156)*100</f>
        <v>0</v>
      </c>
      <c r="BE156" s="11">
        <v>0</v>
      </c>
      <c r="BF156" s="11">
        <f>156</f>
        <v>156</v>
      </c>
      <c r="BH156" s="11">
        <f>F156*AO156</f>
        <v>0</v>
      </c>
      <c r="BI156" s="11">
        <f>F156*AP156</f>
        <v>0</v>
      </c>
      <c r="BJ156" s="11">
        <f>F156*G156</f>
        <v>0</v>
      </c>
      <c r="BK156" s="11"/>
      <c r="BL156" s="11"/>
      <c r="BW156" s="11">
        <v>12</v>
      </c>
      <c r="BX156" s="3" t="s">
        <v>516</v>
      </c>
    </row>
    <row r="157" spans="1:76" ht="14.5" x14ac:dyDescent="0.35">
      <c r="A157" s="61" t="s">
        <v>21</v>
      </c>
      <c r="B157" s="62" t="s">
        <v>66</v>
      </c>
      <c r="C157" s="163" t="s">
        <v>67</v>
      </c>
      <c r="D157" s="164"/>
      <c r="E157" s="63" t="s">
        <v>13</v>
      </c>
      <c r="F157" s="63" t="s">
        <v>13</v>
      </c>
      <c r="G157" s="64" t="s">
        <v>13</v>
      </c>
      <c r="H157" s="40">
        <f>SUM(H158:H160)</f>
        <v>0</v>
      </c>
      <c r="I157" s="45" t="s">
        <v>21</v>
      </c>
      <c r="J157" s="65" t="s">
        <v>21</v>
      </c>
      <c r="AI157" s="45" t="s">
        <v>21</v>
      </c>
      <c r="AS157" s="40">
        <f>SUM(AJ158:AJ160)</f>
        <v>0</v>
      </c>
      <c r="AT157" s="40">
        <f>SUM(AK158:AK160)</f>
        <v>0</v>
      </c>
      <c r="AU157" s="40">
        <f>SUM(AL158:AL160)</f>
        <v>0</v>
      </c>
    </row>
    <row r="158" spans="1:76" ht="14.5" x14ac:dyDescent="0.35">
      <c r="A158" s="1" t="s">
        <v>517</v>
      </c>
      <c r="B158" s="2" t="s">
        <v>518</v>
      </c>
      <c r="C158" s="81" t="s">
        <v>519</v>
      </c>
      <c r="D158" s="74"/>
      <c r="E158" s="2" t="s">
        <v>224</v>
      </c>
      <c r="F158" s="11">
        <v>1</v>
      </c>
      <c r="G158" s="59">
        <v>0</v>
      </c>
      <c r="H158" s="11">
        <f>F158*G158</f>
        <v>0</v>
      </c>
      <c r="I158" s="11">
        <v>0</v>
      </c>
      <c r="J158" s="12">
        <v>0</v>
      </c>
      <c r="Z158" s="11">
        <f>IF(AQ158="5",BJ158,0)</f>
        <v>0</v>
      </c>
      <c r="AB158" s="11">
        <f>IF(AQ158="1",BH158,0)</f>
        <v>0</v>
      </c>
      <c r="AC158" s="11">
        <f>IF(AQ158="1",BI158,0)</f>
        <v>0</v>
      </c>
      <c r="AD158" s="11">
        <f>IF(AQ158="7",BH158,0)</f>
        <v>0</v>
      </c>
      <c r="AE158" s="11">
        <f>IF(AQ158="7",BI158,0)</f>
        <v>0</v>
      </c>
      <c r="AF158" s="11">
        <f>IF(AQ158="2",BH158,0)</f>
        <v>0</v>
      </c>
      <c r="AG158" s="11">
        <f>IF(AQ158="2",BI158,0)</f>
        <v>0</v>
      </c>
      <c r="AH158" s="11">
        <f>IF(AQ158="0",BJ158,0)</f>
        <v>0</v>
      </c>
      <c r="AI158" s="45" t="s">
        <v>21</v>
      </c>
      <c r="AJ158" s="11">
        <f>IF(AN158=0,H158,0)</f>
        <v>0</v>
      </c>
      <c r="AK158" s="11">
        <f>IF(AN158=12,H158,0)</f>
        <v>0</v>
      </c>
      <c r="AL158" s="11">
        <f>IF(AN158=21,H158,0)</f>
        <v>0</v>
      </c>
      <c r="AN158" s="11">
        <v>12</v>
      </c>
      <c r="AO158" s="11">
        <f>G158*0</f>
        <v>0</v>
      </c>
      <c r="AP158" s="11">
        <f>G158*(1-0)</f>
        <v>0</v>
      </c>
      <c r="AQ158" s="60" t="s">
        <v>159</v>
      </c>
      <c r="AV158" s="11">
        <f>AW158+AX158</f>
        <v>0</v>
      </c>
      <c r="AW158" s="11">
        <f>F158*AO158</f>
        <v>0</v>
      </c>
      <c r="AX158" s="11">
        <f>F158*AP158</f>
        <v>0</v>
      </c>
      <c r="AY158" s="60" t="s">
        <v>520</v>
      </c>
      <c r="AZ158" s="60" t="s">
        <v>507</v>
      </c>
      <c r="BA158" s="45" t="s">
        <v>165</v>
      </c>
      <c r="BC158" s="11">
        <f>AW158+AX158</f>
        <v>0</v>
      </c>
      <c r="BD158" s="11">
        <f>G158/(100-BE158)*100</f>
        <v>0</v>
      </c>
      <c r="BE158" s="11">
        <v>0</v>
      </c>
      <c r="BF158" s="11">
        <f>158</f>
        <v>158</v>
      </c>
      <c r="BH158" s="11">
        <f>F158*AO158</f>
        <v>0</v>
      </c>
      <c r="BI158" s="11">
        <f>F158*AP158</f>
        <v>0</v>
      </c>
      <c r="BJ158" s="11">
        <f>F158*G158</f>
        <v>0</v>
      </c>
      <c r="BK158" s="11"/>
      <c r="BL158" s="11"/>
      <c r="BW158" s="11">
        <v>12</v>
      </c>
      <c r="BX158" s="3" t="s">
        <v>519</v>
      </c>
    </row>
    <row r="159" spans="1:76" ht="14.5" x14ac:dyDescent="0.35">
      <c r="A159" s="1" t="s">
        <v>521</v>
      </c>
      <c r="B159" s="2" t="s">
        <v>522</v>
      </c>
      <c r="C159" s="81" t="s">
        <v>523</v>
      </c>
      <c r="D159" s="74"/>
      <c r="E159" s="2" t="s">
        <v>224</v>
      </c>
      <c r="F159" s="11">
        <v>1</v>
      </c>
      <c r="G159" s="59">
        <v>0</v>
      </c>
      <c r="H159" s="11">
        <f>F159*G159</f>
        <v>0</v>
      </c>
      <c r="I159" s="11">
        <v>0</v>
      </c>
      <c r="J159" s="12">
        <v>0</v>
      </c>
      <c r="Z159" s="11">
        <f>IF(AQ159="5",BJ159,0)</f>
        <v>0</v>
      </c>
      <c r="AB159" s="11">
        <f>IF(AQ159="1",BH159,0)</f>
        <v>0</v>
      </c>
      <c r="AC159" s="11">
        <f>IF(AQ159="1",BI159,0)</f>
        <v>0</v>
      </c>
      <c r="AD159" s="11">
        <f>IF(AQ159="7",BH159,0)</f>
        <v>0</v>
      </c>
      <c r="AE159" s="11">
        <f>IF(AQ159="7",BI159,0)</f>
        <v>0</v>
      </c>
      <c r="AF159" s="11">
        <f>IF(AQ159="2",BH159,0)</f>
        <v>0</v>
      </c>
      <c r="AG159" s="11">
        <f>IF(AQ159="2",BI159,0)</f>
        <v>0</v>
      </c>
      <c r="AH159" s="11">
        <f>IF(AQ159="0",BJ159,0)</f>
        <v>0</v>
      </c>
      <c r="AI159" s="45" t="s">
        <v>21</v>
      </c>
      <c r="AJ159" s="11">
        <f>IF(AN159=0,H159,0)</f>
        <v>0</v>
      </c>
      <c r="AK159" s="11">
        <f>IF(AN159=12,H159,0)</f>
        <v>0</v>
      </c>
      <c r="AL159" s="11">
        <f>IF(AN159=21,H159,0)</f>
        <v>0</v>
      </c>
      <c r="AN159" s="11">
        <v>12</v>
      </c>
      <c r="AO159" s="11">
        <f>G159*0</f>
        <v>0</v>
      </c>
      <c r="AP159" s="11">
        <f>G159*(1-0)</f>
        <v>0</v>
      </c>
      <c r="AQ159" s="60" t="s">
        <v>159</v>
      </c>
      <c r="AV159" s="11">
        <f>AW159+AX159</f>
        <v>0</v>
      </c>
      <c r="AW159" s="11">
        <f>F159*AO159</f>
        <v>0</v>
      </c>
      <c r="AX159" s="11">
        <f>F159*AP159</f>
        <v>0</v>
      </c>
      <c r="AY159" s="60" t="s">
        <v>520</v>
      </c>
      <c r="AZ159" s="60" t="s">
        <v>507</v>
      </c>
      <c r="BA159" s="45" t="s">
        <v>165</v>
      </c>
      <c r="BC159" s="11">
        <f>AW159+AX159</f>
        <v>0</v>
      </c>
      <c r="BD159" s="11">
        <f>G159/(100-BE159)*100</f>
        <v>0</v>
      </c>
      <c r="BE159" s="11">
        <v>0</v>
      </c>
      <c r="BF159" s="11">
        <f>159</f>
        <v>159</v>
      </c>
      <c r="BH159" s="11">
        <f>F159*AO159</f>
        <v>0</v>
      </c>
      <c r="BI159" s="11">
        <f>F159*AP159</f>
        <v>0</v>
      </c>
      <c r="BJ159" s="11">
        <f>F159*G159</f>
        <v>0</v>
      </c>
      <c r="BK159" s="11"/>
      <c r="BL159" s="11"/>
      <c r="BW159" s="11">
        <v>12</v>
      </c>
      <c r="BX159" s="3" t="s">
        <v>523</v>
      </c>
    </row>
    <row r="160" spans="1:76" ht="14.5" x14ac:dyDescent="0.35">
      <c r="A160" s="13" t="s">
        <v>524</v>
      </c>
      <c r="B160" s="14" t="s">
        <v>525</v>
      </c>
      <c r="C160" s="169" t="s">
        <v>526</v>
      </c>
      <c r="D160" s="93"/>
      <c r="E160" s="14" t="s">
        <v>224</v>
      </c>
      <c r="F160" s="68">
        <v>1</v>
      </c>
      <c r="G160" s="69">
        <v>0</v>
      </c>
      <c r="H160" s="68">
        <f>F160*G160</f>
        <v>0</v>
      </c>
      <c r="I160" s="68">
        <v>0</v>
      </c>
      <c r="J160" s="15">
        <v>0</v>
      </c>
      <c r="Z160" s="11">
        <f>IF(AQ160="5",BJ160,0)</f>
        <v>0</v>
      </c>
      <c r="AB160" s="11">
        <f>IF(AQ160="1",BH160,0)</f>
        <v>0</v>
      </c>
      <c r="AC160" s="11">
        <f>IF(AQ160="1",BI160,0)</f>
        <v>0</v>
      </c>
      <c r="AD160" s="11">
        <f>IF(AQ160="7",BH160,0)</f>
        <v>0</v>
      </c>
      <c r="AE160" s="11">
        <f>IF(AQ160="7",BI160,0)</f>
        <v>0</v>
      </c>
      <c r="AF160" s="11">
        <f>IF(AQ160="2",BH160,0)</f>
        <v>0</v>
      </c>
      <c r="AG160" s="11">
        <f>IF(AQ160="2",BI160,0)</f>
        <v>0</v>
      </c>
      <c r="AH160" s="11">
        <f>IF(AQ160="0",BJ160,0)</f>
        <v>0</v>
      </c>
      <c r="AI160" s="45" t="s">
        <v>21</v>
      </c>
      <c r="AJ160" s="11">
        <f>IF(AN160=0,H160,0)</f>
        <v>0</v>
      </c>
      <c r="AK160" s="11">
        <f>IF(AN160=12,H160,0)</f>
        <v>0</v>
      </c>
      <c r="AL160" s="11">
        <f>IF(AN160=21,H160,0)</f>
        <v>0</v>
      </c>
      <c r="AN160" s="11">
        <v>12</v>
      </c>
      <c r="AO160" s="11">
        <f>G160*0</f>
        <v>0</v>
      </c>
      <c r="AP160" s="11">
        <f>G160*(1-0)</f>
        <v>0</v>
      </c>
      <c r="AQ160" s="60" t="s">
        <v>159</v>
      </c>
      <c r="AV160" s="11">
        <f>AW160+AX160</f>
        <v>0</v>
      </c>
      <c r="AW160" s="11">
        <f>F160*AO160</f>
        <v>0</v>
      </c>
      <c r="AX160" s="11">
        <f>F160*AP160</f>
        <v>0</v>
      </c>
      <c r="AY160" s="60" t="s">
        <v>520</v>
      </c>
      <c r="AZ160" s="60" t="s">
        <v>507</v>
      </c>
      <c r="BA160" s="45" t="s">
        <v>165</v>
      </c>
      <c r="BC160" s="11">
        <f>AW160+AX160</f>
        <v>0</v>
      </c>
      <c r="BD160" s="11">
        <f>G160/(100-BE160)*100</f>
        <v>0</v>
      </c>
      <c r="BE160" s="11">
        <v>0</v>
      </c>
      <c r="BF160" s="11">
        <f>160</f>
        <v>160</v>
      </c>
      <c r="BH160" s="11">
        <f>F160*AO160</f>
        <v>0</v>
      </c>
      <c r="BI160" s="11">
        <f>F160*AP160</f>
        <v>0</v>
      </c>
      <c r="BJ160" s="11">
        <f>F160*G160</f>
        <v>0</v>
      </c>
      <c r="BK160" s="11"/>
      <c r="BL160" s="11"/>
      <c r="BW160" s="11">
        <v>12</v>
      </c>
      <c r="BX160" s="3" t="s">
        <v>526</v>
      </c>
    </row>
    <row r="161" spans="1:10" ht="14.5" x14ac:dyDescent="0.35">
      <c r="H161" s="16">
        <f>H12+H14+H20+H25+H28+H31+H36+H42+H48+H55+H58+H71+H83+H85+H94+H96+H98+H104+H112+H115+H117+H142+H152+H157</f>
        <v>0</v>
      </c>
    </row>
    <row r="162" spans="1:10" ht="14.5" x14ac:dyDescent="0.35">
      <c r="A162" s="17" t="s">
        <v>69</v>
      </c>
    </row>
    <row r="163" spans="1:10" ht="54" customHeight="1" x14ac:dyDescent="0.35">
      <c r="A163" s="81" t="s">
        <v>70</v>
      </c>
      <c r="B163" s="74"/>
      <c r="C163" s="74"/>
      <c r="D163" s="74"/>
      <c r="E163" s="74"/>
      <c r="F163" s="74"/>
      <c r="G163" s="74"/>
      <c r="H163" s="74"/>
      <c r="I163" s="74"/>
      <c r="J163" s="74"/>
    </row>
  </sheetData>
  <sheetProtection password="C665" sheet="1"/>
  <mergeCells count="178">
    <mergeCell ref="C160:D160"/>
    <mergeCell ref="A163:J163"/>
    <mergeCell ref="C155:D155"/>
    <mergeCell ref="C156:D156"/>
    <mergeCell ref="C157:D157"/>
    <mergeCell ref="C158:D158"/>
    <mergeCell ref="C159:D159"/>
    <mergeCell ref="C150:D150"/>
    <mergeCell ref="C151:D151"/>
    <mergeCell ref="C152:D152"/>
    <mergeCell ref="C153:D153"/>
    <mergeCell ref="C154:D154"/>
    <mergeCell ref="C145:D145"/>
    <mergeCell ref="C146:D146"/>
    <mergeCell ref="C147:J147"/>
    <mergeCell ref="C148:D148"/>
    <mergeCell ref="C149:J14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J119"/>
    <mergeCell ref="C110:D110"/>
    <mergeCell ref="C111:J111"/>
    <mergeCell ref="C112:D112"/>
    <mergeCell ref="C113:D113"/>
    <mergeCell ref="C114:J114"/>
    <mergeCell ref="C105:D105"/>
    <mergeCell ref="C106:D106"/>
    <mergeCell ref="C107:J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J89"/>
    <mergeCell ref="C80:J80"/>
    <mergeCell ref="C81:D81"/>
    <mergeCell ref="C82:D82"/>
    <mergeCell ref="C83:D83"/>
    <mergeCell ref="C84:D84"/>
    <mergeCell ref="C75:J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J57"/>
    <mergeCell ref="C58:D58"/>
    <mergeCell ref="C59:D59"/>
    <mergeCell ref="C50:D50"/>
    <mergeCell ref="C51:D51"/>
    <mergeCell ref="C52:J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J44"/>
    <mergeCell ref="C35:D35"/>
    <mergeCell ref="C36:D36"/>
    <mergeCell ref="C37:D37"/>
    <mergeCell ref="C38:J38"/>
    <mergeCell ref="C39:D39"/>
    <mergeCell ref="C30:J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J22"/>
    <mergeCell ref="C23:D23"/>
    <mergeCell ref="C24:J24"/>
    <mergeCell ref="C15:D15"/>
    <mergeCell ref="C16:D16"/>
    <mergeCell ref="C17:J17"/>
    <mergeCell ref="C18:D18"/>
    <mergeCell ref="C19:J19"/>
    <mergeCell ref="C11:D11"/>
    <mergeCell ref="I10:J10"/>
    <mergeCell ref="C12:D12"/>
    <mergeCell ref="C13:D13"/>
    <mergeCell ref="C14:D14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Rozpočet - Jen podskupiny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Kamil Beck</cp:lastModifiedBy>
  <dcterms:created xsi:type="dcterms:W3CDTF">2021-06-10T20:06:38Z</dcterms:created>
  <dcterms:modified xsi:type="dcterms:W3CDTF">2025-01-17T15:59:47Z</dcterms:modified>
</cp:coreProperties>
</file>