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VORN!$I$45</definedName>
  </definedNames>
  <calcPr refMode="A1"/>
</workbook>
</file>

<file path=xl/sharedStrings.xml><?xml version="1.0" encoding="utf-8"?>
<sst xmlns="http://schemas.openxmlformats.org/spreadsheetml/2006/main" count="309" uniqueCount="309">
  <si>
    <t>Slepý stavební rozpočet</t>
  </si>
  <si>
    <t>Název stavby:</t>
  </si>
  <si>
    <t>Omítky suterénu</t>
  </si>
  <si>
    <t>Doba výstavby:</t>
  </si>
  <si>
    <t xml:space="preserve"> </t>
  </si>
  <si>
    <t>Objednatel:</t>
  </si>
  <si>
    <t> </t>
  </si>
  <si>
    <t>Druh stavby:</t>
  </si>
  <si>
    <t>Začátek výstavby:</t>
  </si>
  <si>
    <t>21.05.2025</t>
  </si>
  <si>
    <t>Projektant:</t>
  </si>
  <si>
    <t>Lokalita:</t>
  </si>
  <si>
    <t>Revoluční 54, Krnov</t>
  </si>
  <si>
    <t>Konec výstavby:</t>
  </si>
  <si>
    <t>Zhotovitel:</t>
  </si>
  <si>
    <t>JKSO: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</si>
  <si>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</si>
  <si>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</si>
  <si>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</si>
  <si>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</si>
  <si>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</si>
  <si>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</si>
  <si>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</si>
  <si>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</si>
  <si>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</si>
  <si>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</si>
  <si>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</si>
  <si>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</si>
  <si>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</si>
  <si>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</si>
  <si>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</si>
  <si>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</si>
  <si>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</si>
  <si>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</si>
  <si>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</si>
  <si>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</si>
  <si>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</si>
  <si>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</si>
  <si>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</si>
  <si>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</si>
  <si>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</si>
  <si>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</si>
  <si>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</si>
  <si>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</si>
  <si>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</si>
  <si>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</si>
  <si>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</si>
  <si>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</si>
  <si>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21</t>
  </si>
  <si>
    <t>Úprava podloží a základové spáry</t>
  </si>
  <si>
    <t>1</t>
  </si>
  <si>
    <t>215901101RT5</t>
  </si>
  <si>
    <t>Zhutnění podloží z hornin nesoudržných do 92% PS</t>
  </si>
  <si>
    <t>m2</t>
  </si>
  <si>
    <t>RTS I / 2025</t>
  </si>
  <si>
    <t>21_</t>
  </si>
  <si>
    <t>2_</t>
  </si>
  <si>
    <t>_</t>
  </si>
  <si>
    <t>P</t>
  </si>
  <si>
    <t>61</t>
  </si>
  <si>
    <t>Úprava povrchů vnitřní</t>
  </si>
  <si>
    <t>2</t>
  </si>
  <si>
    <t>612474611RT1</t>
  </si>
  <si>
    <t>Omítka stěn vnitřní, VPC jádro, vápen.štuk, ručně</t>
  </si>
  <si>
    <t>61_</t>
  </si>
  <si>
    <t>6_</t>
  </si>
  <si>
    <t>3</t>
  </si>
  <si>
    <t>612452491R00</t>
  </si>
  <si>
    <t>Příplatek za další 1cm tl.omítky stěn pl.do50%</t>
  </si>
  <si>
    <t>4</t>
  </si>
  <si>
    <t>612421331RT2</t>
  </si>
  <si>
    <t>Oprava vápen.omítek stěn do 30 % pl. - štukových</t>
  </si>
  <si>
    <t>5</t>
  </si>
  <si>
    <t>998001011R00</t>
  </si>
  <si>
    <t>Přesun hmot na místě</t>
  </si>
  <si>
    <t>t</t>
  </si>
  <si>
    <t>63</t>
  </si>
  <si>
    <t>Podlahy a podlahové konstrukce</t>
  </si>
  <si>
    <t>6</t>
  </si>
  <si>
    <t>630900020RAB</t>
  </si>
  <si>
    <t>Vybourání betonové mazaniny</t>
  </si>
  <si>
    <t>63_</t>
  </si>
  <si>
    <t>7</t>
  </si>
  <si>
    <t>631361921RT2</t>
  </si>
  <si>
    <t>Výztuž mazanin svařovanou sítí</t>
  </si>
  <si>
    <t>8</t>
  </si>
  <si>
    <t>631313611R00</t>
  </si>
  <si>
    <t>Mazanina betonová tl. 8 - 12 cm C 16/20</t>
  </si>
  <si>
    <t>m3</t>
  </si>
  <si>
    <t>9</t>
  </si>
  <si>
    <t>631312121R00</t>
  </si>
  <si>
    <t>Doplnění mazanin betonem do 4 m2, do tl. 8 cm</t>
  </si>
  <si>
    <t>10</t>
  </si>
  <si>
    <t>Přesun hmot pro betonované na místě</t>
  </si>
  <si>
    <t>64</t>
  </si>
  <si>
    <t>Výplně otvorů</t>
  </si>
  <si>
    <t>11</t>
  </si>
  <si>
    <t>642944121RU4</t>
  </si>
  <si>
    <t>Osazení ocelových zárubní dodatečně do 2,5 m2</t>
  </si>
  <si>
    <t>kus</t>
  </si>
  <si>
    <t>64_</t>
  </si>
  <si>
    <t>711</t>
  </si>
  <si>
    <t>Izolace proti vodě</t>
  </si>
  <si>
    <t>12</t>
  </si>
  <si>
    <t>711212951R00</t>
  </si>
  <si>
    <t>Uložení pásky pro vyztužení hydroizolační stěrky v přechodu podlaha-stěna</t>
  </si>
  <si>
    <t>m</t>
  </si>
  <si>
    <t>711_</t>
  </si>
  <si>
    <t>71_</t>
  </si>
  <si>
    <t>13</t>
  </si>
  <si>
    <t>711212911R00</t>
  </si>
  <si>
    <t>Provedení hydroizolačního nátěru 2x</t>
  </si>
  <si>
    <t>713</t>
  </si>
  <si>
    <t>Izolace tepelné</t>
  </si>
  <si>
    <t>14</t>
  </si>
  <si>
    <t>713191100RT9</t>
  </si>
  <si>
    <t>Položení separační fólie</t>
  </si>
  <si>
    <t>713_</t>
  </si>
  <si>
    <t>15</t>
  </si>
  <si>
    <t>713191221R00</t>
  </si>
  <si>
    <t>Dilatační pásek podél stěn výšky 100 mm včetně dodávky</t>
  </si>
  <si>
    <t>767</t>
  </si>
  <si>
    <t>Konstrukce doplňkové stavební (zámečnické)</t>
  </si>
  <si>
    <t>16</t>
  </si>
  <si>
    <t>767612131R00</t>
  </si>
  <si>
    <t>Dokončení okování otvíravých křidel pl. do 2,50 m2</t>
  </si>
  <si>
    <t>767_</t>
  </si>
  <si>
    <t>76_</t>
  </si>
  <si>
    <t>771</t>
  </si>
  <si>
    <t>Podlahy z dlaždic</t>
  </si>
  <si>
    <t>17</t>
  </si>
  <si>
    <t>771101210R00</t>
  </si>
  <si>
    <t>Penetrace podkladu pod dlažby</t>
  </si>
  <si>
    <t>771_</t>
  </si>
  <si>
    <t>77_</t>
  </si>
  <si>
    <t>18</t>
  </si>
  <si>
    <t>771775109RZ1</t>
  </si>
  <si>
    <t>Montáž podlah z dlaždic hladkých keramických, do tmele, 300 x 300 mm</t>
  </si>
  <si>
    <t>19</t>
  </si>
  <si>
    <t>771579793R00</t>
  </si>
  <si>
    <t>Příplatek za spárovací hmotu - plošně, podlahy z dlaždic keramických</t>
  </si>
  <si>
    <t>20</t>
  </si>
  <si>
    <t>771578011R00</t>
  </si>
  <si>
    <t>Spára podlaha - stěna, silikonem</t>
  </si>
  <si>
    <t>771475014RV6</t>
  </si>
  <si>
    <t>Montáž soklíků rovných z dlaždic keramických, do tmele, výšky do 100 mm</t>
  </si>
  <si>
    <t>22</t>
  </si>
  <si>
    <t>783</t>
  </si>
  <si>
    <t>Nátěry</t>
  </si>
  <si>
    <t>23</t>
  </si>
  <si>
    <t>783293203R00</t>
  </si>
  <si>
    <t>Nátěr kovových konstr.disperz.Eternal z+2x email</t>
  </si>
  <si>
    <t>783_</t>
  </si>
  <si>
    <t>78_</t>
  </si>
  <si>
    <t>784</t>
  </si>
  <si>
    <t>Malby</t>
  </si>
  <si>
    <t>24</t>
  </si>
  <si>
    <t>784450075RA0</t>
  </si>
  <si>
    <t>Malba disperzní, penetrace 1x, malba bílá 2x</t>
  </si>
  <si>
    <t>784_</t>
  </si>
  <si>
    <t>25</t>
  </si>
  <si>
    <t>784900010RAB</t>
  </si>
  <si>
    <t>Odstranění stávajících maleb</t>
  </si>
  <si>
    <t>90</t>
  </si>
  <si>
    <t>Hodinové zúčtovací sazby (HZS)</t>
  </si>
  <si>
    <t>26</t>
  </si>
  <si>
    <t>909      R00</t>
  </si>
  <si>
    <t>Hzs-nezmeritelne stavebni prace</t>
  </si>
  <si>
    <t>h</t>
  </si>
  <si>
    <t>90_</t>
  </si>
  <si>
    <t>9_</t>
  </si>
  <si>
    <t>95</t>
  </si>
  <si>
    <t>Různé dokončovací konstrukce a práce na pozemních stavbách</t>
  </si>
  <si>
    <t>27</t>
  </si>
  <si>
    <t>952902110R00</t>
  </si>
  <si>
    <t>Zametání v místnostech, chodbách, na  schodišti a na půdách</t>
  </si>
  <si>
    <t>95_</t>
  </si>
  <si>
    <t>96</t>
  </si>
  <si>
    <t>Bourání konstrukcí</t>
  </si>
  <si>
    <t>28</t>
  </si>
  <si>
    <t>968072455R00</t>
  </si>
  <si>
    <t>Vybourání kovových dveřních zárubní pl. do 2 m2</t>
  </si>
  <si>
    <t>96_</t>
  </si>
  <si>
    <t>29</t>
  </si>
  <si>
    <t>965048515R00</t>
  </si>
  <si>
    <t>Broušení betonových povrchů do tl. 5 mm</t>
  </si>
  <si>
    <t>30</t>
  </si>
  <si>
    <t>965081702R00</t>
  </si>
  <si>
    <t>Bourání soklíků z dlažeb keramických</t>
  </si>
  <si>
    <t>S</t>
  </si>
  <si>
    <t>Přesuny sutí</t>
  </si>
  <si>
    <t>31</t>
  </si>
  <si>
    <t>979011111R00</t>
  </si>
  <si>
    <t>Svislá doprava suti a vybour. hmot za 2.NP a 1.PP</t>
  </si>
  <si>
    <t>S_</t>
  </si>
  <si>
    <t>32</t>
  </si>
  <si>
    <t>979081111R00</t>
  </si>
  <si>
    <t>Odvoz suti a vybour. hmot na skládku do 1 km</t>
  </si>
  <si>
    <t>33</t>
  </si>
  <si>
    <t>979081121R00</t>
  </si>
  <si>
    <t>Příplatek k odvozu za každý další 1 km</t>
  </si>
  <si>
    <t>34</t>
  </si>
  <si>
    <t>979082212R00</t>
  </si>
  <si>
    <t>Vodorovná doprava suti po suchu do 50 m</t>
  </si>
  <si>
    <t>35</t>
  </si>
  <si>
    <t>979086112R00</t>
  </si>
  <si>
    <t>Nakládání nebo překládání suti a vybouraných hmot</t>
  </si>
  <si>
    <t>36</t>
  </si>
  <si>
    <t>979999998R00</t>
  </si>
  <si>
    <t>Poplatek za recyklaci suť do 5 % příměsí (skup.170107)</t>
  </si>
  <si>
    <t>M</t>
  </si>
  <si>
    <t>Ostatní materiál</t>
  </si>
  <si>
    <t>37</t>
  </si>
  <si>
    <t>597642415</t>
  </si>
  <si>
    <t>Sokl keramický RAKO Taurus 300 x 80 x 8 mm</t>
  </si>
  <si>
    <t>0</t>
  </si>
  <si>
    <t>Z99999_</t>
  </si>
  <si>
    <t>Z_</t>
  </si>
  <si>
    <t>38</t>
  </si>
  <si>
    <t>59764275</t>
  </si>
  <si>
    <t>Dlaždice keramická RAKO Taurus Granit 300 x 300 x 8 mm,</t>
  </si>
  <si>
    <t>39</t>
  </si>
  <si>
    <t>40</t>
  </si>
  <si>
    <t>24551191</t>
  </si>
  <si>
    <t>Nátěr hydroizolační RAKO SE1, jednosložkový</t>
  </si>
  <si>
    <t>kg</t>
  </si>
  <si>
    <t>41</t>
  </si>
  <si>
    <t>61165003</t>
  </si>
  <si>
    <t>Dveře dřevěné interiérové hladké 800 x 1970 mm L/P, CPL standard, plné</t>
  </si>
  <si>
    <t>42</t>
  </si>
  <si>
    <t>54914637</t>
  </si>
  <si>
    <t>Kování dveřní, FAB , klika+klika</t>
  </si>
  <si>
    <t>43</t>
  </si>
  <si>
    <t>54964511</t>
  </si>
  <si>
    <t>Vložka cylindrická oboustranná FAB 2**,</t>
  </si>
  <si>
    <t>VORN</t>
  </si>
  <si>
    <t>Vedlejší a ostatní rozpočtové náklady</t>
  </si>
  <si>
    <t>04VRN</t>
  </si>
  <si>
    <t>Inženýrské činnosti</t>
  </si>
  <si>
    <t>44</t>
  </si>
  <si>
    <t>049002VRN</t>
  </si>
  <si>
    <t>Oprava elektroinstalace</t>
  </si>
  <si>
    <t>Soubor</t>
  </si>
  <si>
    <t>RTS I / 2023</t>
  </si>
  <si>
    <t>99</t>
  </si>
  <si>
    <t>04VRN_</t>
  </si>
  <si>
    <t>Â _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</si>
  <si>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</si>
  <si>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</si>
  <si>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</si>
  <si>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</si>
  <si>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</si>
  <si>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</si>
  <si>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</si>
  <si>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</si>
  <si>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</si>
  <si>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</si>
  <si>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</si>
  <si>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</si>
  <si>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</si>
  <si>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</si>
  <si>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</si>
  <si>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</si>
  <si>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</si>
  <si>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</si>
  <si>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</si>
  <si>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</si>
  <si>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</si>
  <si>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</si>
  <si>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</si>
  <si>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</si>
  <si>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</si>
  <si>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</si>
  <si>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</si>
  <si>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</si>
  <si>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</si>
  <si>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</si>
  <si>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</si>
  <si>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</si>
  <si>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</si>
  <si>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</si>
  <si>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</si>
  <si>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</si>
  <si>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</si>
  <si>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</si>
  <si>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</si>
  <si>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</si>
  <si>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</si>
  <si>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</si>
  <si>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</si>
  <si>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</si>
  <si>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</si>
  <si>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</si>
  <si>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</si>
  <si>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</si>
  <si>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</si>
  <si>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</si>
  <si>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</si>
  <si>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</si>
  <si>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</si>
  <si>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</si>
  <si>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</si>
  <si>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</si>
  <si>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</si>
  <si>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Finanční náklady</t>
  </si>
  <si>
    <t>Náklady na pracovníky</t>
  </si>
  <si>
    <t>Ostatní náklady</t>
  </si>
  <si>
    <t>Vlastní VORN</t>
  </si>
  <si>
    <t>Celkem VORN</t>
  </si>
</sst>
</file>

<file path=xl/styles.xml><?xml version="1.0" encoding="utf-8"?>
<styleSheet xmlns="http://schemas.openxmlformats.org/spreadsheetml/2006/main">
  <numFmts count="0"/>
  <fonts count="10">
    <font>
      <sz val="11"/>
      <name val="Calibri"/>
      <charset val="1"/>
    </font>
    <font>
      <color rgb="FF000000"/>
      <sz val="18"/>
      <name val="Arial"/>
      <charset val="238"/>
    </font>
    <font>
      <color rgb="FF000000"/>
      <sz val="10"/>
      <name val="Arial"/>
      <charset val="238"/>
      <b/>
    </font>
    <font>
      <color rgb="FF000000"/>
      <sz val="10"/>
      <name val="Arial"/>
      <charset val="238"/>
    </font>
    <font>
      <color rgb="FF000000"/>
      <sz val="8"/>
      <name val="Arial"/>
      <charset val="238"/>
      <i/>
    </font>
    <font>
      <color rgb="FF000000"/>
      <sz val="18"/>
      <name val="Arial"/>
      <charset val="238"/>
      <b/>
    </font>
    <font>
      <color rgb="FF000000"/>
      <sz val="20"/>
      <name val="Arial"/>
      <charset val="238"/>
      <b/>
    </font>
    <font>
      <color rgb="FF000000"/>
      <sz val="11"/>
      <name val="Arial"/>
      <charset val="238"/>
      <b/>
    </font>
    <font>
      <color rgb="FF000000"/>
      <sz val="12"/>
      <name val="Arial"/>
      <charset val="238"/>
      <b/>
    </font>
    <font>
      <color rgb="FF000000"/>
      <sz val="12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borderId="0" fillId="0" fontId="0" numFmtId="0"/>
  </cellStyleXfs>
  <cellXfs count="139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4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3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1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8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19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0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3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4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6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7" fillId="0" fontId="2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8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29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2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0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2" fontId="2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2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2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2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2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3" fillId="0" fontId="3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4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6" fillId="0" fontId="3" numFmtId="1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" fillId="0" fontId="3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3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5" fillId="0" fontId="5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6" fillId="2" fontId="6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7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2" fontId="6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4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9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4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6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8" fillId="0" fontId="9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9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5" fillId="0" fontId="9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0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1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38" fillId="2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2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37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2" fillId="2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4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5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6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7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8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9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0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1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2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3" fillId="0" fontId="9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29" fillId="0" fontId="4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8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5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6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17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4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52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3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41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5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6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7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3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8" fillId="0" fontId="3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2" fillId="0" fontId="2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69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8" numFmtId="0" xfId="0">
      <alignment horizontal="left" vertical="center" textRotation="0" shrinkToFit="false" wrapText="false"/>
      <protection hidden="false" locked="true"/>
    </xf>
    <xf applyAlignment="true" applyBorder="true" applyFill="true" applyNumberFormat="true" applyFont="true" applyProtection="true" borderId="73" fillId="0" fontId="8" numFmtId="4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0" fillId="0" fontId="8" numFmtId="0" xfId="0">
      <alignment horizontal="right" vertical="center" textRotation="0" shrinkToFit="false" wrapText="false"/>
      <protection hidden="false" locked="true"/>
    </xf>
    <xf applyAlignment="true" applyBorder="true" applyFill="true" applyNumberFormat="true" applyFont="true" applyProtection="true" borderId="71" fillId="0" fontId="8" numFmtId="0" xfId="0">
      <alignment horizontal="right" vertical="center" textRotation="0" shrinkToFit="false" wrapText="false"/>
      <protection hidden="false" locked="true"/>
    </xf>
  </cellXfs>
  <dxfs count="0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_rels/drawing1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_rels/drawing3.xml.rels><?xml version="1.0" encoding="utf-8"?><Relationships xmlns="http://schemas.openxmlformats.org/package/2006/relationships"><Relationship Id="rId1" Type="http://schemas.openxmlformats.org/officeDocument/2006/relationships/image" Target="/xl/media/image1.jpeg" /></Relationships>
</file>

<file path=xl/drawings/drawing1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a="http://schemas.openxmlformats.org/drawingml/2006/main" xmlns:xdr="http://schemas.openxmlformats.org/drawingml/2006/spreadsheetDrawing">
  <xdr:absoluteAnchor>
    <xdr:pos x="0" y="0"/>
    <xdr:ext cx="666750" cy="666750"/>
    <xdr:pic>
      <xdr:nvPicPr>
        <xdr:cNvPr id="1" name=""/>
        <xdr:cNvPicPr>
          <a:picLocks noChangeAspect="true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BX75"/>
  <sheetViews>
    <sheetView workbookViewId="0" tabSelected="true" showZeros="true" showFormulas="false" showGridLines="true" showRowColHeaders="true">
      <pane topLeftCell="A12" state="frozen" activePane="bottomLeft" ySplit="11"/>
      <selection pane="bottomLeft" sqref="A75:K75" activeCell="A75"/>
    </sheetView>
  </sheetViews>
  <sheetFormatPr defaultColWidth="12.140625" customHeight="true" defaultRowHeight="15"/>
  <cols>
    <col max="1" min="1" style="0" width="3.99609375" customWidth="true"/>
    <col max="2" min="2" style="0" width="17.85546875" customWidth="true"/>
    <col max="3" min="3" style="0" width="42.85546875" customWidth="true"/>
    <col max="4" min="4" style="0" width="35.7109375" customWidth="true"/>
    <col max="5" min="5" style="0" width="8.42578125" customWidth="true"/>
    <col max="6" min="6" style="0" width="12.85546875" customWidth="true"/>
    <col max="7" min="7" style="0" width="12" customWidth="true"/>
    <col max="10" min="8" style="0" width="15.7109375" customWidth="true"/>
    <col max="11" min="11" style="0" width="14" customWidth="true"/>
    <col max="75" min="25" style="0" width="12.140625" hidden="true"/>
    <col max="76" min="76" style="0" width="78.5703125" customWidth="true" hidden="true"/>
    <col max="78" min="77" style="0" width="12.140625" hidden="true"/>
  </cols>
  <sheetData>
    <row r="1" customHeight="true" ht="54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AS1" s="2">
        <f>SUM(AJ1:AJ2)</f>
      </c>
      <c r="AT1" s="2">
        <f>SUM(AK1:AK2)</f>
      </c>
      <c r="AU1" s="2">
        <f>SUM(AL1:AL2)</f>
      </c>
    </row>
    <row r="2">
      <c r="A2" s="3" t="s">
        <v>1</v>
      </c>
      <c r="B2" s="4"/>
      <c r="C2" s="5" t="s">
        <v>2</v>
      </c>
      <c r="D2" s="6"/>
      <c r="E2" s="4" t="s">
        <v>3</v>
      </c>
      <c r="F2" s="4"/>
      <c r="G2" s="4" t="s">
        <v>4</v>
      </c>
      <c r="H2" s="7" t="s">
        <v>5</v>
      </c>
      <c r="I2" s="4" t="s">
        <v>6</v>
      </c>
      <c r="J2" s="4"/>
      <c r="K2" s="8"/>
    </row>
    <row r="3">
      <c r="A3" s="9"/>
      <c r="B3" s="10"/>
      <c r="C3" s="11"/>
      <c r="D3" s="11"/>
      <c r="E3" s="10"/>
      <c r="F3" s="10"/>
      <c r="G3" s="10"/>
      <c r="H3" s="10"/>
      <c r="I3" s="10"/>
      <c r="J3" s="10"/>
      <c r="K3" s="12"/>
    </row>
    <row r="4">
      <c r="A4" s="13" t="s">
        <v>7</v>
      </c>
      <c r="B4" s="10"/>
      <c r="C4" s="14" t="s">
        <v>4</v>
      </c>
      <c r="D4" s="10"/>
      <c r="E4" s="10" t="s">
        <v>8</v>
      </c>
      <c r="F4" s="10"/>
      <c r="G4" s="10" t="s">
        <v>9</v>
      </c>
      <c r="H4" s="14" t="s">
        <v>10</v>
      </c>
      <c r="I4" s="10" t="s">
        <v>6</v>
      </c>
      <c r="J4" s="10"/>
      <c r="K4" s="12"/>
    </row>
    <row r="5">
      <c r="A5" s="9"/>
      <c r="B5" s="10"/>
      <c r="C5" s="10"/>
      <c r="D5" s="10"/>
      <c r="E5" s="10"/>
      <c r="F5" s="10"/>
      <c r="G5" s="10"/>
      <c r="H5" s="10"/>
      <c r="I5" s="10"/>
      <c r="J5" s="10"/>
      <c r="K5" s="12"/>
    </row>
    <row r="6">
      <c r="A6" s="13" t="s">
        <v>11</v>
      </c>
      <c r="B6" s="10"/>
      <c r="C6" s="14" t="s">
        <v>12</v>
      </c>
      <c r="D6" s="10"/>
      <c r="E6" s="10" t="s">
        <v>13</v>
      </c>
      <c r="F6" s="10"/>
      <c r="G6" s="10" t="s">
        <v>4</v>
      </c>
      <c r="H6" s="14" t="s">
        <v>14</v>
      </c>
      <c r="I6" s="10" t="s">
        <v>6</v>
      </c>
      <c r="J6" s="10"/>
      <c r="K6" s="12"/>
    </row>
    <row r="7">
      <c r="A7" s="9"/>
      <c r="B7" s="10"/>
      <c r="C7" s="10"/>
      <c r="D7" s="10"/>
      <c r="E7" s="10"/>
      <c r="F7" s="10"/>
      <c r="G7" s="10"/>
      <c r="H7" s="10"/>
      <c r="I7" s="10"/>
      <c r="J7" s="10"/>
      <c r="K7" s="12"/>
    </row>
    <row r="8">
      <c r="A8" s="13" t="s">
        <v>15</v>
      </c>
      <c r="B8" s="10"/>
      <c r="C8" s="14" t="s">
        <v>4</v>
      </c>
      <c r="D8" s="10"/>
      <c r="E8" s="10" t="s">
        <v>16</v>
      </c>
      <c r="F8" s="10"/>
      <c r="G8" s="10" t="s">
        <v>9</v>
      </c>
      <c r="H8" s="14" t="s">
        <v>17</v>
      </c>
      <c r="I8" s="10" t="s">
        <v>6</v>
      </c>
      <c r="J8" s="10"/>
      <c r="K8" s="12"/>
    </row>
    <row r="9">
      <c r="A9" s="15"/>
      <c r="B9" s="16"/>
      <c r="C9" s="16"/>
      <c r="D9" s="16"/>
      <c r="E9" s="16"/>
      <c r="F9" s="16"/>
      <c r="G9" s="16"/>
      <c r="H9" s="16"/>
      <c r="I9" s="16"/>
      <c r="J9" s="16"/>
      <c r="K9" s="17"/>
    </row>
    <row r="10">
      <c r="A10" s="18" t="s">
        <v>18</v>
      </c>
      <c r="B10" s="19" t="s">
        <v>19</v>
      </c>
      <c r="C10" s="20" t="s">
        <v>20</v>
      </c>
      <c r="D10" s="21"/>
      <c r="E10" s="19" t="s">
        <v>21</v>
      </c>
      <c r="F10" s="22" t="s">
        <v>22</v>
      </c>
      <c r="G10" s="23" t="s">
        <v>23</v>
      </c>
      <c r="H10" s="24" t="s">
        <v>24</v>
      </c>
      <c r="I10" s="25"/>
      <c r="J10" s="26"/>
      <c r="K10" s="27" t="s">
        <v>25</v>
      </c>
      <c r="BK10" s="28" t="s">
        <v>26</v>
      </c>
      <c r="BL10" s="29" t="s">
        <v>27</v>
      </c>
      <c r="BW10" s="29" t="s">
        <v>28</v>
      </c>
    </row>
    <row r="11">
      <c r="A11" s="30" t="s">
        <v>4</v>
      </c>
      <c r="B11" s="31" t="s">
        <v>4</v>
      </c>
      <c r="C11" s="32" t="s">
        <v>29</v>
      </c>
      <c r="D11" s="33"/>
      <c r="E11" s="31" t="s">
        <v>4</v>
      </c>
      <c r="F11" s="31" t="s">
        <v>4</v>
      </c>
      <c r="G11" s="34" t="s">
        <v>30</v>
      </c>
      <c r="H11" s="35" t="s">
        <v>31</v>
      </c>
      <c r="I11" s="36" t="s">
        <v>32</v>
      </c>
      <c r="J11" s="37" t="s">
        <v>33</v>
      </c>
      <c r="K11" s="38" t="s">
        <v>34</v>
      </c>
      <c r="Z11" s="28" t="s">
        <v>35</v>
      </c>
      <c r="AA11" s="28" t="s">
        <v>36</v>
      </c>
      <c r="AB11" s="28" t="s">
        <v>37</v>
      </c>
      <c r="AC11" s="28" t="s">
        <v>38</v>
      </c>
      <c r="AD11" s="28" t="s">
        <v>39</v>
      </c>
      <c r="AE11" s="28" t="s">
        <v>40</v>
      </c>
      <c r="AF11" s="28" t="s">
        <v>41</v>
      </c>
      <c r="AG11" s="28" t="s">
        <v>42</v>
      </c>
      <c r="AH11" s="28" t="s">
        <v>43</v>
      </c>
      <c r="BH11" s="28" t="s">
        <v>44</v>
      </c>
      <c r="BI11" s="28" t="s">
        <v>45</v>
      </c>
      <c r="BJ11" s="28" t="s">
        <v>46</v>
      </c>
    </row>
    <row r="12">
      <c r="A12" s="39" t="s">
        <v>47</v>
      </c>
      <c r="B12" s="40" t="s">
        <v>48</v>
      </c>
      <c r="C12" s="41" t="s">
        <v>49</v>
      </c>
      <c r="D12" s="40"/>
      <c r="E12" s="42" t="s">
        <v>4</v>
      </c>
      <c r="F12" s="42" t="s">
        <v>4</v>
      </c>
      <c r="G12" s="42" t="s">
        <v>4</v>
      </c>
      <c r="H12" s="43">
        <f>SUM(H13:H13)</f>
      </c>
      <c r="I12" s="43">
        <f>SUM(I13:I13)</f>
      </c>
      <c r="J12" s="43">
        <f>SUM(J13:J13)</f>
      </c>
      <c r="K12" s="44" t="s">
        <v>47</v>
      </c>
      <c r="AI12" s="28" t="s">
        <v>47</v>
      </c>
      <c r="AS12" s="2">
        <f>SUM(AJ13:AJ13)</f>
      </c>
      <c r="AT12" s="2">
        <f>SUM(AK13:AK13)</f>
      </c>
      <c r="AU12" s="2">
        <f>SUM(AL13:AL13)</f>
      </c>
    </row>
    <row r="13">
      <c r="A13" s="9" t="s">
        <v>50</v>
      </c>
      <c r="B13" s="10" t="s">
        <v>51</v>
      </c>
      <c r="C13" s="14" t="s">
        <v>52</v>
      </c>
      <c r="D13" s="10"/>
      <c r="E13" s="10" t="s">
        <v>53</v>
      </c>
      <c r="F13" s="45" t="n">
        <v>26.4</v>
      </c>
      <c r="G13" s="45" t="n">
        <v>0</v>
      </c>
      <c r="H13" s="45">
        <f>ROUND(F13*AO13,2)</f>
      </c>
      <c r="I13" s="45">
        <f>ROUND(F13*AP13,2)</f>
      </c>
      <c r="J13" s="45">
        <f>ROUND(F13*G13,2)</f>
      </c>
      <c r="K13" s="46" t="s">
        <v>54</v>
      </c>
      <c r="Z13" s="45">
        <f>ROUND(IF(AQ13="5",BJ13,0),2)</f>
      </c>
      <c r="AB13" s="45">
        <f>ROUND(IF(AQ13="1",BH13,0),2)</f>
      </c>
      <c r="AC13" s="45">
        <f>ROUND(IF(AQ13="1",BI13,0),2)</f>
      </c>
      <c r="AD13" s="45">
        <f>ROUND(IF(AQ13="7",BH13,0),2)</f>
      </c>
      <c r="AE13" s="45">
        <f>ROUND(IF(AQ13="7",BI13,0),2)</f>
      </c>
      <c r="AF13" s="45">
        <f>ROUND(IF(AQ13="2",BH13,0),2)</f>
      </c>
      <c r="AG13" s="45">
        <f>ROUND(IF(AQ13="2",BI13,0),2)</f>
      </c>
      <c r="AH13" s="45">
        <f>ROUND(IF(AQ13="0",BJ13,0),2)</f>
      </c>
      <c r="AI13" s="28" t="s">
        <v>47</v>
      </c>
      <c r="AJ13" s="45">
        <f>IF(AN13=0,J13,0)</f>
      </c>
      <c r="AK13" s="45">
        <f>IF(AN13=15,J13,0)</f>
      </c>
      <c r="AL13" s="45">
        <f>IF(AN13=21,J13,0)</f>
      </c>
      <c r="AN13" s="45" t="n">
        <v>15</v>
      </c>
      <c r="AO13" s="45">
        <f>G13*0</f>
      </c>
      <c r="AP13" s="45">
        <f>G13*(1-0)</f>
      </c>
      <c r="AQ13" s="47" t="s">
        <v>50</v>
      </c>
      <c r="AV13" s="45">
        <f>ROUND(AW13+AX13,2)</f>
      </c>
      <c r="AW13" s="45">
        <f>ROUND(F13*AO13,2)</f>
      </c>
      <c r="AX13" s="45">
        <f>ROUND(F13*AP13,2)</f>
      </c>
      <c r="AY13" s="47" t="s">
        <v>55</v>
      </c>
      <c r="AZ13" s="47" t="s">
        <v>56</v>
      </c>
      <c r="BA13" s="28" t="s">
        <v>57</v>
      </c>
      <c r="BC13" s="45">
        <f>AW13+AX13</f>
      </c>
      <c r="BD13" s="45">
        <f>G13/(100-BE13)*100</f>
      </c>
      <c r="BE13" s="45" t="n">
        <v>0</v>
      </c>
      <c r="BF13" s="45">
        <f>13</f>
      </c>
      <c r="BH13" s="45">
        <f>F13*AO13</f>
      </c>
      <c r="BI13" s="45">
        <f>F13*AP13</f>
      </c>
      <c r="BJ13" s="45">
        <f>F13*G13</f>
      </c>
      <c r="BK13" s="47" t="s">
        <v>58</v>
      </c>
      <c r="BL13" s="45" t="n">
        <v>21</v>
      </c>
      <c r="BW13" s="45" t="n">
        <v>15</v>
      </c>
      <c r="BX13" s="14" t="s">
        <v>52</v>
      </c>
    </row>
    <row r="14">
      <c r="A14" s="48" t="s">
        <v>47</v>
      </c>
      <c r="B14" s="49" t="s">
        <v>59</v>
      </c>
      <c r="C14" s="50" t="s">
        <v>60</v>
      </c>
      <c r="D14" s="49"/>
      <c r="E14" s="51" t="s">
        <v>4</v>
      </c>
      <c r="F14" s="51" t="s">
        <v>4</v>
      </c>
      <c r="G14" s="51" t="s">
        <v>4</v>
      </c>
      <c r="H14" s="2">
        <f>SUM(H15:H18)</f>
      </c>
      <c r="I14" s="2">
        <f>SUM(I15:I18)</f>
      </c>
      <c r="J14" s="2">
        <f>SUM(J15:J18)</f>
      </c>
      <c r="K14" s="52" t="s">
        <v>47</v>
      </c>
      <c r="AI14" s="28" t="s">
        <v>47</v>
      </c>
      <c r="AS14" s="2">
        <f>SUM(AJ15:AJ18)</f>
      </c>
      <c r="AT14" s="2">
        <f>SUM(AK15:AK18)</f>
      </c>
      <c r="AU14" s="2">
        <f>SUM(AL15:AL18)</f>
      </c>
    </row>
    <row r="15">
      <c r="A15" s="9" t="s">
        <v>61</v>
      </c>
      <c r="B15" s="10" t="s">
        <v>62</v>
      </c>
      <c r="C15" s="14" t="s">
        <v>63</v>
      </c>
      <c r="D15" s="10"/>
      <c r="E15" s="10" t="s">
        <v>53</v>
      </c>
      <c r="F15" s="45" t="n">
        <v>92.8</v>
      </c>
      <c r="G15" s="45" t="n">
        <v>0</v>
      </c>
      <c r="H15" s="45">
        <f>ROUND(F15*AO15,2)</f>
      </c>
      <c r="I15" s="45">
        <f>ROUND(F15*AP15,2)</f>
      </c>
      <c r="J15" s="45">
        <f>ROUND(F15*G15,2)</f>
      </c>
      <c r="K15" s="46" t="s">
        <v>54</v>
      </c>
      <c r="Z15" s="45">
        <f>ROUND(IF(AQ15="5",BJ15,0),2)</f>
      </c>
      <c r="AB15" s="45">
        <f>ROUND(IF(AQ15="1",BH15,0),2)</f>
      </c>
      <c r="AC15" s="45">
        <f>ROUND(IF(AQ15="1",BI15,0),2)</f>
      </c>
      <c r="AD15" s="45">
        <f>ROUND(IF(AQ15="7",BH15,0),2)</f>
      </c>
      <c r="AE15" s="45">
        <f>ROUND(IF(AQ15="7",BI15,0),2)</f>
      </c>
      <c r="AF15" s="45">
        <f>ROUND(IF(AQ15="2",BH15,0),2)</f>
      </c>
      <c r="AG15" s="45">
        <f>ROUND(IF(AQ15="2",BI15,0),2)</f>
      </c>
      <c r="AH15" s="45">
        <f>ROUND(IF(AQ15="0",BJ15,0),2)</f>
      </c>
      <c r="AI15" s="28" t="s">
        <v>47</v>
      </c>
      <c r="AJ15" s="45">
        <f>IF(AN15=0,J15,0)</f>
      </c>
      <c r="AK15" s="45">
        <f>IF(AN15=15,J15,0)</f>
      </c>
      <c r="AL15" s="45">
        <f>IF(AN15=21,J15,0)</f>
      </c>
      <c r="AN15" s="45" t="n">
        <v>15</v>
      </c>
      <c r="AO15" s="45">
        <f>G15*0.29916986</f>
      </c>
      <c r="AP15" s="45">
        <f>G15*(1-0.29916986)</f>
      </c>
      <c r="AQ15" s="47" t="s">
        <v>50</v>
      </c>
      <c r="AV15" s="45">
        <f>ROUND(AW15+AX15,2)</f>
      </c>
      <c r="AW15" s="45">
        <f>ROUND(F15*AO15,2)</f>
      </c>
      <c r="AX15" s="45">
        <f>ROUND(F15*AP15,2)</f>
      </c>
      <c r="AY15" s="47" t="s">
        <v>64</v>
      </c>
      <c r="AZ15" s="47" t="s">
        <v>65</v>
      </c>
      <c r="BA15" s="28" t="s">
        <v>57</v>
      </c>
      <c r="BC15" s="45">
        <f>AW15+AX15</f>
      </c>
      <c r="BD15" s="45">
        <f>G15/(100-BE15)*100</f>
      </c>
      <c r="BE15" s="45" t="n">
        <v>0</v>
      </c>
      <c r="BF15" s="45">
        <f>15</f>
      </c>
      <c r="BH15" s="45">
        <f>F15*AO15</f>
      </c>
      <c r="BI15" s="45">
        <f>F15*AP15</f>
      </c>
      <c r="BJ15" s="45">
        <f>F15*G15</f>
      </c>
      <c r="BK15" s="47" t="s">
        <v>58</v>
      </c>
      <c r="BL15" s="45" t="n">
        <v>61</v>
      </c>
      <c r="BW15" s="45" t="n">
        <v>15</v>
      </c>
      <c r="BX15" s="14" t="s">
        <v>63</v>
      </c>
    </row>
    <row r="16">
      <c r="A16" s="9" t="s">
        <v>66</v>
      </c>
      <c r="B16" s="10" t="s">
        <v>67</v>
      </c>
      <c r="C16" s="14" t="s">
        <v>68</v>
      </c>
      <c r="D16" s="10"/>
      <c r="E16" s="10" t="s">
        <v>53</v>
      </c>
      <c r="F16" s="45" t="n">
        <v>92.8</v>
      </c>
      <c r="G16" s="45" t="n">
        <v>0</v>
      </c>
      <c r="H16" s="45">
        <f>ROUND(F16*AO16,2)</f>
      </c>
      <c r="I16" s="45">
        <f>ROUND(F16*AP16,2)</f>
      </c>
      <c r="J16" s="45">
        <f>ROUND(F16*G16,2)</f>
      </c>
      <c r="K16" s="46" t="s">
        <v>54</v>
      </c>
      <c r="Z16" s="45">
        <f>ROUND(IF(AQ16="5",BJ16,0),2)</f>
      </c>
      <c r="AB16" s="45">
        <f>ROUND(IF(AQ16="1",BH16,0),2)</f>
      </c>
      <c r="AC16" s="45">
        <f>ROUND(IF(AQ16="1",BI16,0),2)</f>
      </c>
      <c r="AD16" s="45">
        <f>ROUND(IF(AQ16="7",BH16,0),2)</f>
      </c>
      <c r="AE16" s="45">
        <f>ROUND(IF(AQ16="7",BI16,0),2)</f>
      </c>
      <c r="AF16" s="45">
        <f>ROUND(IF(AQ16="2",BH16,0),2)</f>
      </c>
      <c r="AG16" s="45">
        <f>ROUND(IF(AQ16="2",BI16,0),2)</f>
      </c>
      <c r="AH16" s="45">
        <f>ROUND(IF(AQ16="0",BJ16,0),2)</f>
      </c>
      <c r="AI16" s="28" t="s">
        <v>47</v>
      </c>
      <c r="AJ16" s="45">
        <f>IF(AN16=0,J16,0)</f>
      </c>
      <c r="AK16" s="45">
        <f>IF(AN16=15,J16,0)</f>
      </c>
      <c r="AL16" s="45">
        <f>IF(AN16=21,J16,0)</f>
      </c>
      <c r="AN16" s="45" t="n">
        <v>15</v>
      </c>
      <c r="AO16" s="45">
        <f>G16*0.199371069</f>
      </c>
      <c r="AP16" s="45">
        <f>G16*(1-0.199371069)</f>
      </c>
      <c r="AQ16" s="47" t="s">
        <v>50</v>
      </c>
      <c r="AV16" s="45">
        <f>ROUND(AW16+AX16,2)</f>
      </c>
      <c r="AW16" s="45">
        <f>ROUND(F16*AO16,2)</f>
      </c>
      <c r="AX16" s="45">
        <f>ROUND(F16*AP16,2)</f>
      </c>
      <c r="AY16" s="47" t="s">
        <v>64</v>
      </c>
      <c r="AZ16" s="47" t="s">
        <v>65</v>
      </c>
      <c r="BA16" s="28" t="s">
        <v>57</v>
      </c>
      <c r="BC16" s="45">
        <f>AW16+AX16</f>
      </c>
      <c r="BD16" s="45">
        <f>G16/(100-BE16)*100</f>
      </c>
      <c r="BE16" s="45" t="n">
        <v>0</v>
      </c>
      <c r="BF16" s="45">
        <f>16</f>
      </c>
      <c r="BH16" s="45">
        <f>F16*AO16</f>
      </c>
      <c r="BI16" s="45">
        <f>F16*AP16</f>
      </c>
      <c r="BJ16" s="45">
        <f>F16*G16</f>
      </c>
      <c r="BK16" s="47" t="s">
        <v>58</v>
      </c>
      <c r="BL16" s="45" t="n">
        <v>61</v>
      </c>
      <c r="BW16" s="45" t="n">
        <v>15</v>
      </c>
      <c r="BX16" s="14" t="s">
        <v>68</v>
      </c>
    </row>
    <row r="17">
      <c r="A17" s="9" t="s">
        <v>69</v>
      </c>
      <c r="B17" s="10" t="s">
        <v>70</v>
      </c>
      <c r="C17" s="14" t="s">
        <v>71</v>
      </c>
      <c r="D17" s="10"/>
      <c r="E17" s="10" t="s">
        <v>53</v>
      </c>
      <c r="F17" s="45" t="n">
        <v>143.7</v>
      </c>
      <c r="G17" s="45" t="n">
        <v>0</v>
      </c>
      <c r="H17" s="45">
        <f>ROUND(F17*AO17,2)</f>
      </c>
      <c r="I17" s="45">
        <f>ROUND(F17*AP17,2)</f>
      </c>
      <c r="J17" s="45">
        <f>ROUND(F17*G17,2)</f>
      </c>
      <c r="K17" s="46" t="s">
        <v>54</v>
      </c>
      <c r="Z17" s="45">
        <f>ROUND(IF(AQ17="5",BJ17,0),2)</f>
      </c>
      <c r="AB17" s="45">
        <f>ROUND(IF(AQ17="1",BH17,0),2)</f>
      </c>
      <c r="AC17" s="45">
        <f>ROUND(IF(AQ17="1",BI17,0),2)</f>
      </c>
      <c r="AD17" s="45">
        <f>ROUND(IF(AQ17="7",BH17,0),2)</f>
      </c>
      <c r="AE17" s="45">
        <f>ROUND(IF(AQ17="7",BI17,0),2)</f>
      </c>
      <c r="AF17" s="45">
        <f>ROUND(IF(AQ17="2",BH17,0),2)</f>
      </c>
      <c r="AG17" s="45">
        <f>ROUND(IF(AQ17="2",BI17,0),2)</f>
      </c>
      <c r="AH17" s="45">
        <f>ROUND(IF(AQ17="0",BJ17,0),2)</f>
      </c>
      <c r="AI17" s="28" t="s">
        <v>47</v>
      </c>
      <c r="AJ17" s="45">
        <f>IF(AN17=0,J17,0)</f>
      </c>
      <c r="AK17" s="45">
        <f>IF(AN17=15,J17,0)</f>
      </c>
      <c r="AL17" s="45">
        <f>IF(AN17=21,J17,0)</f>
      </c>
      <c r="AN17" s="45" t="n">
        <v>15</v>
      </c>
      <c r="AO17" s="45">
        <f>G17*0.30384379</f>
      </c>
      <c r="AP17" s="45">
        <f>G17*(1-0.30384379)</f>
      </c>
      <c r="AQ17" s="47" t="s">
        <v>50</v>
      </c>
      <c r="AV17" s="45">
        <f>ROUND(AW17+AX17,2)</f>
      </c>
      <c r="AW17" s="45">
        <f>ROUND(F17*AO17,2)</f>
      </c>
      <c r="AX17" s="45">
        <f>ROUND(F17*AP17,2)</f>
      </c>
      <c r="AY17" s="47" t="s">
        <v>64</v>
      </c>
      <c r="AZ17" s="47" t="s">
        <v>65</v>
      </c>
      <c r="BA17" s="28" t="s">
        <v>57</v>
      </c>
      <c r="BC17" s="45">
        <f>AW17+AX17</f>
      </c>
      <c r="BD17" s="45">
        <f>G17/(100-BE17)*100</f>
      </c>
      <c r="BE17" s="45" t="n">
        <v>0</v>
      </c>
      <c r="BF17" s="45">
        <f>17</f>
      </c>
      <c r="BH17" s="45">
        <f>F17*AO17</f>
      </c>
      <c r="BI17" s="45">
        <f>F17*AP17</f>
      </c>
      <c r="BJ17" s="45">
        <f>F17*G17</f>
      </c>
      <c r="BK17" s="47" t="s">
        <v>58</v>
      </c>
      <c r="BL17" s="45" t="n">
        <v>61</v>
      </c>
      <c r="BW17" s="45" t="n">
        <v>15</v>
      </c>
      <c r="BX17" s="14" t="s">
        <v>71</v>
      </c>
    </row>
    <row r="18">
      <c r="A18" s="9" t="s">
        <v>72</v>
      </c>
      <c r="B18" s="10" t="s">
        <v>73</v>
      </c>
      <c r="C18" s="14" t="s">
        <v>74</v>
      </c>
      <c r="D18" s="10"/>
      <c r="E18" s="10" t="s">
        <v>75</v>
      </c>
      <c r="F18" s="45" t="n">
        <v>5.61908</v>
      </c>
      <c r="G18" s="45" t="n">
        <v>0</v>
      </c>
      <c r="H18" s="45">
        <f>ROUND(F18*AO18,2)</f>
      </c>
      <c r="I18" s="45">
        <f>ROUND(F18*AP18,2)</f>
      </c>
      <c r="J18" s="45">
        <f>ROUND(F18*G18,2)</f>
      </c>
      <c r="K18" s="46" t="s">
        <v>54</v>
      </c>
      <c r="Z18" s="45">
        <f>ROUND(IF(AQ18="5",BJ18,0),2)</f>
      </c>
      <c r="AB18" s="45">
        <f>ROUND(IF(AQ18="1",BH18,0),2)</f>
      </c>
      <c r="AC18" s="45">
        <f>ROUND(IF(AQ18="1",BI18,0),2)</f>
      </c>
      <c r="AD18" s="45">
        <f>ROUND(IF(AQ18="7",BH18,0),2)</f>
      </c>
      <c r="AE18" s="45">
        <f>ROUND(IF(AQ18="7",BI18,0),2)</f>
      </c>
      <c r="AF18" s="45">
        <f>ROUND(IF(AQ18="2",BH18,0),2)</f>
      </c>
      <c r="AG18" s="45">
        <f>ROUND(IF(AQ18="2",BI18,0),2)</f>
      </c>
      <c r="AH18" s="45">
        <f>ROUND(IF(AQ18="0",BJ18,0),2)</f>
      </c>
      <c r="AI18" s="28" t="s">
        <v>47</v>
      </c>
      <c r="AJ18" s="45">
        <f>IF(AN18=0,J18,0)</f>
      </c>
      <c r="AK18" s="45">
        <f>IF(AN18=15,J18,0)</f>
      </c>
      <c r="AL18" s="45">
        <f>IF(AN18=21,J18,0)</f>
      </c>
      <c r="AN18" s="45" t="n">
        <v>15</v>
      </c>
      <c r="AO18" s="45">
        <f>G18*0</f>
      </c>
      <c r="AP18" s="45">
        <f>G18*(1-0)</f>
      </c>
      <c r="AQ18" s="47" t="s">
        <v>72</v>
      </c>
      <c r="AV18" s="45">
        <f>ROUND(AW18+AX18,2)</f>
      </c>
      <c r="AW18" s="45">
        <f>ROUND(F18*AO18,2)</f>
      </c>
      <c r="AX18" s="45">
        <f>ROUND(F18*AP18,2)</f>
      </c>
      <c r="AY18" s="47" t="s">
        <v>64</v>
      </c>
      <c r="AZ18" s="47" t="s">
        <v>65</v>
      </c>
      <c r="BA18" s="28" t="s">
        <v>57</v>
      </c>
      <c r="BC18" s="45">
        <f>AW18+AX18</f>
      </c>
      <c r="BD18" s="45">
        <f>G18/(100-BE18)*100</f>
      </c>
      <c r="BE18" s="45" t="n">
        <v>0</v>
      </c>
      <c r="BF18" s="45">
        <f>18</f>
      </c>
      <c r="BH18" s="45">
        <f>F18*AO18</f>
      </c>
      <c r="BI18" s="45">
        <f>F18*AP18</f>
      </c>
      <c r="BJ18" s="45">
        <f>F18*G18</f>
      </c>
      <c r="BK18" s="47" t="s">
        <v>58</v>
      </c>
      <c r="BL18" s="45" t="n">
        <v>61</v>
      </c>
      <c r="BW18" s="45" t="n">
        <v>15</v>
      </c>
      <c r="BX18" s="14" t="s">
        <v>74</v>
      </c>
    </row>
    <row r="19">
      <c r="A19" s="48" t="s">
        <v>47</v>
      </c>
      <c r="B19" s="49" t="s">
        <v>76</v>
      </c>
      <c r="C19" s="50" t="s">
        <v>77</v>
      </c>
      <c r="D19" s="49"/>
      <c r="E19" s="51" t="s">
        <v>4</v>
      </c>
      <c r="F19" s="51" t="s">
        <v>4</v>
      </c>
      <c r="G19" s="51" t="s">
        <v>4</v>
      </c>
      <c r="H19" s="2">
        <f>SUM(H20:H24)</f>
      </c>
      <c r="I19" s="2">
        <f>SUM(I20:I24)</f>
      </c>
      <c r="J19" s="2">
        <f>SUM(J20:J24)</f>
      </c>
      <c r="K19" s="52" t="s">
        <v>47</v>
      </c>
      <c r="AI19" s="28" t="s">
        <v>47</v>
      </c>
      <c r="AS19" s="2">
        <f>SUM(AJ20:AJ24)</f>
      </c>
      <c r="AT19" s="2">
        <f>SUM(AK20:AK24)</f>
      </c>
      <c r="AU19" s="2">
        <f>SUM(AL20:AL24)</f>
      </c>
    </row>
    <row r="20">
      <c r="A20" s="9" t="s">
        <v>78</v>
      </c>
      <c r="B20" s="10" t="s">
        <v>79</v>
      </c>
      <c r="C20" s="14" t="s">
        <v>80</v>
      </c>
      <c r="D20" s="10"/>
      <c r="E20" s="10" t="s">
        <v>53</v>
      </c>
      <c r="F20" s="45" t="n">
        <v>26.4</v>
      </c>
      <c r="G20" s="45" t="n">
        <v>0</v>
      </c>
      <c r="H20" s="45">
        <f>ROUND(F20*AO20,2)</f>
      </c>
      <c r="I20" s="45">
        <f>ROUND(F20*AP20,2)</f>
      </c>
      <c r="J20" s="45">
        <f>ROUND(F20*G20,2)</f>
      </c>
      <c r="K20" s="46" t="s">
        <v>54</v>
      </c>
      <c r="Z20" s="45">
        <f>ROUND(IF(AQ20="5",BJ20,0),2)</f>
      </c>
      <c r="AB20" s="45">
        <f>ROUND(IF(AQ20="1",BH20,0),2)</f>
      </c>
      <c r="AC20" s="45">
        <f>ROUND(IF(AQ20="1",BI20,0),2)</f>
      </c>
      <c r="AD20" s="45">
        <f>ROUND(IF(AQ20="7",BH20,0),2)</f>
      </c>
      <c r="AE20" s="45">
        <f>ROUND(IF(AQ20="7",BI20,0),2)</f>
      </c>
      <c r="AF20" s="45">
        <f>ROUND(IF(AQ20="2",BH20,0),2)</f>
      </c>
      <c r="AG20" s="45">
        <f>ROUND(IF(AQ20="2",BI20,0),2)</f>
      </c>
      <c r="AH20" s="45">
        <f>ROUND(IF(AQ20="0",BJ20,0),2)</f>
      </c>
      <c r="AI20" s="28" t="s">
        <v>47</v>
      </c>
      <c r="AJ20" s="45">
        <f>IF(AN20=0,J20,0)</f>
      </c>
      <c r="AK20" s="45">
        <f>IF(AN20=15,J20,0)</f>
      </c>
      <c r="AL20" s="45">
        <f>IF(AN20=21,J20,0)</f>
      </c>
      <c r="AN20" s="45" t="n">
        <v>15</v>
      </c>
      <c r="AO20" s="45">
        <f>G20*0</f>
      </c>
      <c r="AP20" s="45">
        <f>G20*(1-0)</f>
      </c>
      <c r="AQ20" s="47" t="s">
        <v>50</v>
      </c>
      <c r="AV20" s="45">
        <f>ROUND(AW20+AX20,2)</f>
      </c>
      <c r="AW20" s="45">
        <f>ROUND(F20*AO20,2)</f>
      </c>
      <c r="AX20" s="45">
        <f>ROUND(F20*AP20,2)</f>
      </c>
      <c r="AY20" s="47" t="s">
        <v>81</v>
      </c>
      <c r="AZ20" s="47" t="s">
        <v>65</v>
      </c>
      <c r="BA20" s="28" t="s">
        <v>57</v>
      </c>
      <c r="BC20" s="45">
        <f>AW20+AX20</f>
      </c>
      <c r="BD20" s="45">
        <f>G20/(100-BE20)*100</f>
      </c>
      <c r="BE20" s="45" t="n">
        <v>0</v>
      </c>
      <c r="BF20" s="45">
        <f>20</f>
      </c>
      <c r="BH20" s="45">
        <f>F20*AO20</f>
      </c>
      <c r="BI20" s="45">
        <f>F20*AP20</f>
      </c>
      <c r="BJ20" s="45">
        <f>F20*G20</f>
      </c>
      <c r="BK20" s="47" t="s">
        <v>58</v>
      </c>
      <c r="BL20" s="45" t="n">
        <v>63</v>
      </c>
      <c r="BW20" s="45" t="n">
        <v>15</v>
      </c>
      <c r="BX20" s="14" t="s">
        <v>80</v>
      </c>
    </row>
    <row r="21">
      <c r="A21" s="9" t="s">
        <v>82</v>
      </c>
      <c r="B21" s="10" t="s">
        <v>83</v>
      </c>
      <c r="C21" s="14" t="s">
        <v>84</v>
      </c>
      <c r="D21" s="10"/>
      <c r="E21" s="10" t="s">
        <v>75</v>
      </c>
      <c r="F21" s="45" t="n">
        <v>0.94</v>
      </c>
      <c r="G21" s="45" t="n">
        <v>0</v>
      </c>
      <c r="H21" s="45">
        <f>ROUND(F21*AO21,2)</f>
      </c>
      <c r="I21" s="45">
        <f>ROUND(F21*AP21,2)</f>
      </c>
      <c r="J21" s="45">
        <f>ROUND(F21*G21,2)</f>
      </c>
      <c r="K21" s="46" t="s">
        <v>54</v>
      </c>
      <c r="Z21" s="45">
        <f>ROUND(IF(AQ21="5",BJ21,0),2)</f>
      </c>
      <c r="AB21" s="45">
        <f>ROUND(IF(AQ21="1",BH21,0),2)</f>
      </c>
      <c r="AC21" s="45">
        <f>ROUND(IF(AQ21="1",BI21,0),2)</f>
      </c>
      <c r="AD21" s="45">
        <f>ROUND(IF(AQ21="7",BH21,0),2)</f>
      </c>
      <c r="AE21" s="45">
        <f>ROUND(IF(AQ21="7",BI21,0),2)</f>
      </c>
      <c r="AF21" s="45">
        <f>ROUND(IF(AQ21="2",BH21,0),2)</f>
      </c>
      <c r="AG21" s="45">
        <f>ROUND(IF(AQ21="2",BI21,0),2)</f>
      </c>
      <c r="AH21" s="45">
        <f>ROUND(IF(AQ21="0",BJ21,0),2)</f>
      </c>
      <c r="AI21" s="28" t="s">
        <v>47</v>
      </c>
      <c r="AJ21" s="45">
        <f>IF(AN21=0,J21,0)</f>
      </c>
      <c r="AK21" s="45">
        <f>IF(AN21=15,J21,0)</f>
      </c>
      <c r="AL21" s="45">
        <f>IF(AN21=21,J21,0)</f>
      </c>
      <c r="AN21" s="45" t="n">
        <v>15</v>
      </c>
      <c r="AO21" s="45">
        <f>G21*0.758055564</f>
      </c>
      <c r="AP21" s="45">
        <f>G21*(1-0.758055564)</f>
      </c>
      <c r="AQ21" s="47" t="s">
        <v>50</v>
      </c>
      <c r="AV21" s="45">
        <f>ROUND(AW21+AX21,2)</f>
      </c>
      <c r="AW21" s="45">
        <f>ROUND(F21*AO21,2)</f>
      </c>
      <c r="AX21" s="45">
        <f>ROUND(F21*AP21,2)</f>
      </c>
      <c r="AY21" s="47" t="s">
        <v>81</v>
      </c>
      <c r="AZ21" s="47" t="s">
        <v>65</v>
      </c>
      <c r="BA21" s="28" t="s">
        <v>57</v>
      </c>
      <c r="BC21" s="45">
        <f>AW21+AX21</f>
      </c>
      <c r="BD21" s="45">
        <f>G21/(100-BE21)*100</f>
      </c>
      <c r="BE21" s="45" t="n">
        <v>0</v>
      </c>
      <c r="BF21" s="45">
        <f>21</f>
      </c>
      <c r="BH21" s="45">
        <f>F21*AO21</f>
      </c>
      <c r="BI21" s="45">
        <f>F21*AP21</f>
      </c>
      <c r="BJ21" s="45">
        <f>F21*G21</f>
      </c>
      <c r="BK21" s="47" t="s">
        <v>58</v>
      </c>
      <c r="BL21" s="45" t="n">
        <v>63</v>
      </c>
      <c r="BW21" s="45" t="n">
        <v>15</v>
      </c>
      <c r="BX21" s="14" t="s">
        <v>84</v>
      </c>
    </row>
    <row r="22">
      <c r="A22" s="9" t="s">
        <v>85</v>
      </c>
      <c r="B22" s="10" t="s">
        <v>86</v>
      </c>
      <c r="C22" s="14" t="s">
        <v>87</v>
      </c>
      <c r="D22" s="10"/>
      <c r="E22" s="10" t="s">
        <v>88</v>
      </c>
      <c r="F22" s="45" t="n">
        <v>2.64</v>
      </c>
      <c r="G22" s="45" t="n">
        <v>0</v>
      </c>
      <c r="H22" s="45">
        <f>ROUND(F22*AO22,2)</f>
      </c>
      <c r="I22" s="45">
        <f>ROUND(F22*AP22,2)</f>
      </c>
      <c r="J22" s="45">
        <f>ROUND(F22*G22,2)</f>
      </c>
      <c r="K22" s="46" t="s">
        <v>54</v>
      </c>
      <c r="Z22" s="45">
        <f>ROUND(IF(AQ22="5",BJ22,0),2)</f>
      </c>
      <c r="AB22" s="45">
        <f>ROUND(IF(AQ22="1",BH22,0),2)</f>
      </c>
      <c r="AC22" s="45">
        <f>ROUND(IF(AQ22="1",BI22,0),2)</f>
      </c>
      <c r="AD22" s="45">
        <f>ROUND(IF(AQ22="7",BH22,0),2)</f>
      </c>
      <c r="AE22" s="45">
        <f>ROUND(IF(AQ22="7",BI22,0),2)</f>
      </c>
      <c r="AF22" s="45">
        <f>ROUND(IF(AQ22="2",BH22,0),2)</f>
      </c>
      <c r="AG22" s="45">
        <f>ROUND(IF(AQ22="2",BI22,0),2)</f>
      </c>
      <c r="AH22" s="45">
        <f>ROUND(IF(AQ22="0",BJ22,0),2)</f>
      </c>
      <c r="AI22" s="28" t="s">
        <v>47</v>
      </c>
      <c r="AJ22" s="45">
        <f>IF(AN22=0,J22,0)</f>
      </c>
      <c r="AK22" s="45">
        <f>IF(AN22=15,J22,0)</f>
      </c>
      <c r="AL22" s="45">
        <f>IF(AN22=21,J22,0)</f>
      </c>
      <c r="AN22" s="45" t="n">
        <v>15</v>
      </c>
      <c r="AO22" s="45">
        <f>G22*0.688296495</f>
      </c>
      <c r="AP22" s="45">
        <f>G22*(1-0.688296495)</f>
      </c>
      <c r="AQ22" s="47" t="s">
        <v>50</v>
      </c>
      <c r="AV22" s="45">
        <f>ROUND(AW22+AX22,2)</f>
      </c>
      <c r="AW22" s="45">
        <f>ROUND(F22*AO22,2)</f>
      </c>
      <c r="AX22" s="45">
        <f>ROUND(F22*AP22,2)</f>
      </c>
      <c r="AY22" s="47" t="s">
        <v>81</v>
      </c>
      <c r="AZ22" s="47" t="s">
        <v>65</v>
      </c>
      <c r="BA22" s="28" t="s">
        <v>57</v>
      </c>
      <c r="BC22" s="45">
        <f>AW22+AX22</f>
      </c>
      <c r="BD22" s="45">
        <f>G22/(100-BE22)*100</f>
      </c>
      <c r="BE22" s="45" t="n">
        <v>0</v>
      </c>
      <c r="BF22" s="45">
        <f>22</f>
      </c>
      <c r="BH22" s="45">
        <f>F22*AO22</f>
      </c>
      <c r="BI22" s="45">
        <f>F22*AP22</f>
      </c>
      <c r="BJ22" s="45">
        <f>F22*G22</f>
      </c>
      <c r="BK22" s="47" t="s">
        <v>58</v>
      </c>
      <c r="BL22" s="45" t="n">
        <v>63</v>
      </c>
      <c r="BW22" s="45" t="n">
        <v>15</v>
      </c>
      <c r="BX22" s="14" t="s">
        <v>87</v>
      </c>
    </row>
    <row r="23">
      <c r="A23" s="9" t="s">
        <v>89</v>
      </c>
      <c r="B23" s="10" t="s">
        <v>90</v>
      </c>
      <c r="C23" s="14" t="s">
        <v>91</v>
      </c>
      <c r="D23" s="10"/>
      <c r="E23" s="10" t="s">
        <v>88</v>
      </c>
      <c r="F23" s="45" t="n">
        <v>0.4</v>
      </c>
      <c r="G23" s="45" t="n">
        <v>0</v>
      </c>
      <c r="H23" s="45">
        <f>ROUND(F23*AO23,2)</f>
      </c>
      <c r="I23" s="45">
        <f>ROUND(F23*AP23,2)</f>
      </c>
      <c r="J23" s="45">
        <f>ROUND(F23*G23,2)</f>
      </c>
      <c r="K23" s="46" t="s">
        <v>54</v>
      </c>
      <c r="Z23" s="45">
        <f>ROUND(IF(AQ23="5",BJ23,0),2)</f>
      </c>
      <c r="AB23" s="45">
        <f>ROUND(IF(AQ23="1",BH23,0),2)</f>
      </c>
      <c r="AC23" s="45">
        <f>ROUND(IF(AQ23="1",BI23,0),2)</f>
      </c>
      <c r="AD23" s="45">
        <f>ROUND(IF(AQ23="7",BH23,0),2)</f>
      </c>
      <c r="AE23" s="45">
        <f>ROUND(IF(AQ23="7",BI23,0),2)</f>
      </c>
      <c r="AF23" s="45">
        <f>ROUND(IF(AQ23="2",BH23,0),2)</f>
      </c>
      <c r="AG23" s="45">
        <f>ROUND(IF(AQ23="2",BI23,0),2)</f>
      </c>
      <c r="AH23" s="45">
        <f>ROUND(IF(AQ23="0",BJ23,0),2)</f>
      </c>
      <c r="AI23" s="28" t="s">
        <v>47</v>
      </c>
      <c r="AJ23" s="45">
        <f>IF(AN23=0,J23,0)</f>
      </c>
      <c r="AK23" s="45">
        <f>IF(AN23=15,J23,0)</f>
      </c>
      <c r="AL23" s="45">
        <f>IF(AN23=21,J23,0)</f>
      </c>
      <c r="AN23" s="45" t="n">
        <v>15</v>
      </c>
      <c r="AO23" s="45">
        <f>G23*0.559335378</f>
      </c>
      <c r="AP23" s="45">
        <f>G23*(1-0.559335378)</f>
      </c>
      <c r="AQ23" s="47" t="s">
        <v>50</v>
      </c>
      <c r="AV23" s="45">
        <f>ROUND(AW23+AX23,2)</f>
      </c>
      <c r="AW23" s="45">
        <f>ROUND(F23*AO23,2)</f>
      </c>
      <c r="AX23" s="45">
        <f>ROUND(F23*AP23,2)</f>
      </c>
      <c r="AY23" s="47" t="s">
        <v>81</v>
      </c>
      <c r="AZ23" s="47" t="s">
        <v>65</v>
      </c>
      <c r="BA23" s="28" t="s">
        <v>57</v>
      </c>
      <c r="BC23" s="45">
        <f>AW23+AX23</f>
      </c>
      <c r="BD23" s="45">
        <f>G23/(100-BE23)*100</f>
      </c>
      <c r="BE23" s="45" t="n">
        <v>0</v>
      </c>
      <c r="BF23" s="45">
        <f>23</f>
      </c>
      <c r="BH23" s="45">
        <f>F23*AO23</f>
      </c>
      <c r="BI23" s="45">
        <f>F23*AP23</f>
      </c>
      <c r="BJ23" s="45">
        <f>F23*G23</f>
      </c>
      <c r="BK23" s="47" t="s">
        <v>58</v>
      </c>
      <c r="BL23" s="45" t="n">
        <v>63</v>
      </c>
      <c r="BW23" s="45" t="n">
        <v>15</v>
      </c>
      <c r="BX23" s="14" t="s">
        <v>91</v>
      </c>
    </row>
    <row r="24">
      <c r="A24" s="9" t="s">
        <v>92</v>
      </c>
      <c r="B24" s="10" t="s">
        <v>73</v>
      </c>
      <c r="C24" s="14" t="s">
        <v>93</v>
      </c>
      <c r="D24" s="10"/>
      <c r="E24" s="10" t="s">
        <v>75</v>
      </c>
      <c r="F24" s="45" t="n">
        <v>14.48924</v>
      </c>
      <c r="G24" s="45" t="n">
        <v>0</v>
      </c>
      <c r="H24" s="45">
        <f>ROUND(F24*AO24,2)</f>
      </c>
      <c r="I24" s="45">
        <f>ROUND(F24*AP24,2)</f>
      </c>
      <c r="J24" s="45">
        <f>ROUND(F24*G24,2)</f>
      </c>
      <c r="K24" s="46" t="s">
        <v>54</v>
      </c>
      <c r="Z24" s="45">
        <f>ROUND(IF(AQ24="5",BJ24,0),2)</f>
      </c>
      <c r="AB24" s="45">
        <f>ROUND(IF(AQ24="1",BH24,0),2)</f>
      </c>
      <c r="AC24" s="45">
        <f>ROUND(IF(AQ24="1",BI24,0),2)</f>
      </c>
      <c r="AD24" s="45">
        <f>ROUND(IF(AQ24="7",BH24,0),2)</f>
      </c>
      <c r="AE24" s="45">
        <f>ROUND(IF(AQ24="7",BI24,0),2)</f>
      </c>
      <c r="AF24" s="45">
        <f>ROUND(IF(AQ24="2",BH24,0),2)</f>
      </c>
      <c r="AG24" s="45">
        <f>ROUND(IF(AQ24="2",BI24,0),2)</f>
      </c>
      <c r="AH24" s="45">
        <f>ROUND(IF(AQ24="0",BJ24,0),2)</f>
      </c>
      <c r="AI24" s="28" t="s">
        <v>47</v>
      </c>
      <c r="AJ24" s="45">
        <f>IF(AN24=0,J24,0)</f>
      </c>
      <c r="AK24" s="45">
        <f>IF(AN24=15,J24,0)</f>
      </c>
      <c r="AL24" s="45">
        <f>IF(AN24=21,J24,0)</f>
      </c>
      <c r="AN24" s="45" t="n">
        <v>15</v>
      </c>
      <c r="AO24" s="45">
        <f>G24*0</f>
      </c>
      <c r="AP24" s="45">
        <f>G24*(1-0)</f>
      </c>
      <c r="AQ24" s="47" t="s">
        <v>72</v>
      </c>
      <c r="AV24" s="45">
        <f>ROUND(AW24+AX24,2)</f>
      </c>
      <c r="AW24" s="45">
        <f>ROUND(F24*AO24,2)</f>
      </c>
      <c r="AX24" s="45">
        <f>ROUND(F24*AP24,2)</f>
      </c>
      <c r="AY24" s="47" t="s">
        <v>81</v>
      </c>
      <c r="AZ24" s="47" t="s">
        <v>65</v>
      </c>
      <c r="BA24" s="28" t="s">
        <v>57</v>
      </c>
      <c r="BC24" s="45">
        <f>AW24+AX24</f>
      </c>
      <c r="BD24" s="45">
        <f>G24/(100-BE24)*100</f>
      </c>
      <c r="BE24" s="45" t="n">
        <v>0</v>
      </c>
      <c r="BF24" s="45">
        <f>24</f>
      </c>
      <c r="BH24" s="45">
        <f>F24*AO24</f>
      </c>
      <c r="BI24" s="45">
        <f>F24*AP24</f>
      </c>
      <c r="BJ24" s="45">
        <f>F24*G24</f>
      </c>
      <c r="BK24" s="47" t="s">
        <v>58</v>
      </c>
      <c r="BL24" s="45" t="n">
        <v>63</v>
      </c>
      <c r="BW24" s="45" t="n">
        <v>15</v>
      </c>
      <c r="BX24" s="14" t="s">
        <v>93</v>
      </c>
    </row>
    <row r="25">
      <c r="A25" s="48" t="s">
        <v>47</v>
      </c>
      <c r="B25" s="49" t="s">
        <v>94</v>
      </c>
      <c r="C25" s="50" t="s">
        <v>95</v>
      </c>
      <c r="D25" s="49"/>
      <c r="E25" s="51" t="s">
        <v>4</v>
      </c>
      <c r="F25" s="51" t="s">
        <v>4</v>
      </c>
      <c r="G25" s="51" t="s">
        <v>4</v>
      </c>
      <c r="H25" s="2">
        <f>SUM(H26:H26)</f>
      </c>
      <c r="I25" s="2">
        <f>SUM(I26:I26)</f>
      </c>
      <c r="J25" s="2">
        <f>SUM(J26:J26)</f>
      </c>
      <c r="K25" s="52" t="s">
        <v>47</v>
      </c>
      <c r="AI25" s="28" t="s">
        <v>47</v>
      </c>
      <c r="AS25" s="2">
        <f>SUM(AJ26:AJ26)</f>
      </c>
      <c r="AT25" s="2">
        <f>SUM(AK26:AK26)</f>
      </c>
      <c r="AU25" s="2">
        <f>SUM(AL26:AL26)</f>
      </c>
    </row>
    <row r="26">
      <c r="A26" s="9" t="s">
        <v>96</v>
      </c>
      <c r="B26" s="10" t="s">
        <v>97</v>
      </c>
      <c r="C26" s="14" t="s">
        <v>98</v>
      </c>
      <c r="D26" s="10"/>
      <c r="E26" s="10" t="s">
        <v>99</v>
      </c>
      <c r="F26" s="45" t="n">
        <v>8</v>
      </c>
      <c r="G26" s="45" t="n">
        <v>0</v>
      </c>
      <c r="H26" s="45">
        <f>ROUND(F26*AO26,2)</f>
      </c>
      <c r="I26" s="45">
        <f>ROUND(F26*AP26,2)</f>
      </c>
      <c r="J26" s="45">
        <f>ROUND(F26*G26,2)</f>
      </c>
      <c r="K26" s="46" t="s">
        <v>54</v>
      </c>
      <c r="Z26" s="45">
        <f>ROUND(IF(AQ26="5",BJ26,0),2)</f>
      </c>
      <c r="AB26" s="45">
        <f>ROUND(IF(AQ26="1",BH26,0),2)</f>
      </c>
      <c r="AC26" s="45">
        <f>ROUND(IF(AQ26="1",BI26,0),2)</f>
      </c>
      <c r="AD26" s="45">
        <f>ROUND(IF(AQ26="7",BH26,0),2)</f>
      </c>
      <c r="AE26" s="45">
        <f>ROUND(IF(AQ26="7",BI26,0),2)</f>
      </c>
      <c r="AF26" s="45">
        <f>ROUND(IF(AQ26="2",BH26,0),2)</f>
      </c>
      <c r="AG26" s="45">
        <f>ROUND(IF(AQ26="2",BI26,0),2)</f>
      </c>
      <c r="AH26" s="45">
        <f>ROUND(IF(AQ26="0",BJ26,0),2)</f>
      </c>
      <c r="AI26" s="28" t="s">
        <v>47</v>
      </c>
      <c r="AJ26" s="45">
        <f>IF(AN26=0,J26,0)</f>
      </c>
      <c r="AK26" s="45">
        <f>IF(AN26=15,J26,0)</f>
      </c>
      <c r="AL26" s="45">
        <f>IF(AN26=21,J26,0)</f>
      </c>
      <c r="AN26" s="45" t="n">
        <v>15</v>
      </c>
      <c r="AO26" s="45">
        <f>G26*0.629463233</f>
      </c>
      <c r="AP26" s="45">
        <f>G26*(1-0.629463233)</f>
      </c>
      <c r="AQ26" s="47" t="s">
        <v>50</v>
      </c>
      <c r="AV26" s="45">
        <f>ROUND(AW26+AX26,2)</f>
      </c>
      <c r="AW26" s="45">
        <f>ROUND(F26*AO26,2)</f>
      </c>
      <c r="AX26" s="45">
        <f>ROUND(F26*AP26,2)</f>
      </c>
      <c r="AY26" s="47" t="s">
        <v>100</v>
      </c>
      <c r="AZ26" s="47" t="s">
        <v>65</v>
      </c>
      <c r="BA26" s="28" t="s">
        <v>57</v>
      </c>
      <c r="BC26" s="45">
        <f>AW26+AX26</f>
      </c>
      <c r="BD26" s="45">
        <f>G26/(100-BE26)*100</f>
      </c>
      <c r="BE26" s="45" t="n">
        <v>0</v>
      </c>
      <c r="BF26" s="45">
        <f>26</f>
      </c>
      <c r="BH26" s="45">
        <f>F26*AO26</f>
      </c>
      <c r="BI26" s="45">
        <f>F26*AP26</f>
      </c>
      <c r="BJ26" s="45">
        <f>F26*G26</f>
      </c>
      <c r="BK26" s="47" t="s">
        <v>58</v>
      </c>
      <c r="BL26" s="45" t="n">
        <v>64</v>
      </c>
      <c r="BW26" s="45" t="n">
        <v>15</v>
      </c>
      <c r="BX26" s="14" t="s">
        <v>98</v>
      </c>
    </row>
    <row r="27">
      <c r="A27" s="48" t="s">
        <v>47</v>
      </c>
      <c r="B27" s="49" t="s">
        <v>101</v>
      </c>
      <c r="C27" s="50" t="s">
        <v>102</v>
      </c>
      <c r="D27" s="49"/>
      <c r="E27" s="51" t="s">
        <v>4</v>
      </c>
      <c r="F27" s="51" t="s">
        <v>4</v>
      </c>
      <c r="G27" s="51" t="s">
        <v>4</v>
      </c>
      <c r="H27" s="2">
        <f>SUM(H28:H29)</f>
      </c>
      <c r="I27" s="2">
        <f>SUM(I28:I29)</f>
      </c>
      <c r="J27" s="2">
        <f>SUM(J28:J29)</f>
      </c>
      <c r="K27" s="52" t="s">
        <v>47</v>
      </c>
      <c r="AI27" s="28" t="s">
        <v>47</v>
      </c>
      <c r="AS27" s="2">
        <f>SUM(AJ28:AJ29)</f>
      </c>
      <c r="AT27" s="2">
        <f>SUM(AK28:AK29)</f>
      </c>
      <c r="AU27" s="2">
        <f>SUM(AL28:AL29)</f>
      </c>
    </row>
    <row r="28">
      <c r="A28" s="9" t="s">
        <v>103</v>
      </c>
      <c r="B28" s="10" t="s">
        <v>104</v>
      </c>
      <c r="C28" s="14" t="s">
        <v>105</v>
      </c>
      <c r="D28" s="10"/>
      <c r="E28" s="10" t="s">
        <v>106</v>
      </c>
      <c r="F28" s="45" t="n">
        <v>173.3</v>
      </c>
      <c r="G28" s="45" t="n">
        <v>0</v>
      </c>
      <c r="H28" s="45">
        <f>ROUND(F28*AO28,2)</f>
      </c>
      <c r="I28" s="45">
        <f>ROUND(F28*AP28,2)</f>
      </c>
      <c r="J28" s="45">
        <f>ROUND(F28*G28,2)</f>
      </c>
      <c r="K28" s="46" t="s">
        <v>54</v>
      </c>
      <c r="Z28" s="45">
        <f>ROUND(IF(AQ28="5",BJ28,0),2)</f>
      </c>
      <c r="AB28" s="45">
        <f>ROUND(IF(AQ28="1",BH28,0),2)</f>
      </c>
      <c r="AC28" s="45">
        <f>ROUND(IF(AQ28="1",BI28,0),2)</f>
      </c>
      <c r="AD28" s="45">
        <f>ROUND(IF(AQ28="7",BH28,0),2)</f>
      </c>
      <c r="AE28" s="45">
        <f>ROUND(IF(AQ28="7",BI28,0),2)</f>
      </c>
      <c r="AF28" s="45">
        <f>ROUND(IF(AQ28="2",BH28,0),2)</f>
      </c>
      <c r="AG28" s="45">
        <f>ROUND(IF(AQ28="2",BI28,0),2)</f>
      </c>
      <c r="AH28" s="45">
        <f>ROUND(IF(AQ28="0",BJ28,0),2)</f>
      </c>
      <c r="AI28" s="28" t="s">
        <v>47</v>
      </c>
      <c r="AJ28" s="45">
        <f>IF(AN28=0,J28,0)</f>
      </c>
      <c r="AK28" s="45">
        <f>IF(AN28=15,J28,0)</f>
      </c>
      <c r="AL28" s="45">
        <f>IF(AN28=21,J28,0)</f>
      </c>
      <c r="AN28" s="45" t="n">
        <v>15</v>
      </c>
      <c r="AO28" s="45">
        <f>G28*0.476339061</f>
      </c>
      <c r="AP28" s="45">
        <f>G28*(1-0.476339061)</f>
      </c>
      <c r="AQ28" s="47" t="s">
        <v>82</v>
      </c>
      <c r="AV28" s="45">
        <f>ROUND(AW28+AX28,2)</f>
      </c>
      <c r="AW28" s="45">
        <f>ROUND(F28*AO28,2)</f>
      </c>
      <c r="AX28" s="45">
        <f>ROUND(F28*AP28,2)</f>
      </c>
      <c r="AY28" s="47" t="s">
        <v>107</v>
      </c>
      <c r="AZ28" s="47" t="s">
        <v>108</v>
      </c>
      <c r="BA28" s="28" t="s">
        <v>57</v>
      </c>
      <c r="BC28" s="45">
        <f>AW28+AX28</f>
      </c>
      <c r="BD28" s="45">
        <f>G28/(100-BE28)*100</f>
      </c>
      <c r="BE28" s="45" t="n">
        <v>0</v>
      </c>
      <c r="BF28" s="45">
        <f>28</f>
      </c>
      <c r="BH28" s="45">
        <f>F28*AO28</f>
      </c>
      <c r="BI28" s="45">
        <f>F28*AP28</f>
      </c>
      <c r="BJ28" s="45">
        <f>F28*G28</f>
      </c>
      <c r="BK28" s="47" t="s">
        <v>58</v>
      </c>
      <c r="BL28" s="45" t="n">
        <v>711</v>
      </c>
      <c r="BW28" s="45" t="n">
        <v>15</v>
      </c>
      <c r="BX28" s="14" t="s">
        <v>105</v>
      </c>
    </row>
    <row r="29">
      <c r="A29" s="9" t="s">
        <v>109</v>
      </c>
      <c r="B29" s="10" t="s">
        <v>110</v>
      </c>
      <c r="C29" s="14" t="s">
        <v>111</v>
      </c>
      <c r="D29" s="10"/>
      <c r="E29" s="10" t="s">
        <v>53</v>
      </c>
      <c r="F29" s="45" t="n">
        <v>164.7</v>
      </c>
      <c r="G29" s="45" t="n">
        <v>0</v>
      </c>
      <c r="H29" s="45">
        <f>ROUND(F29*AO29,2)</f>
      </c>
      <c r="I29" s="45">
        <f>ROUND(F29*AP29,2)</f>
      </c>
      <c r="J29" s="45">
        <f>ROUND(F29*G29,2)</f>
      </c>
      <c r="K29" s="46" t="s">
        <v>54</v>
      </c>
      <c r="Z29" s="45">
        <f>ROUND(IF(AQ29="5",BJ29,0),2)</f>
      </c>
      <c r="AB29" s="45">
        <f>ROUND(IF(AQ29="1",BH29,0),2)</f>
      </c>
      <c r="AC29" s="45">
        <f>ROUND(IF(AQ29="1",BI29,0),2)</f>
      </c>
      <c r="AD29" s="45">
        <f>ROUND(IF(AQ29="7",BH29,0),2)</f>
      </c>
      <c r="AE29" s="45">
        <f>ROUND(IF(AQ29="7",BI29,0),2)</f>
      </c>
      <c r="AF29" s="45">
        <f>ROUND(IF(AQ29="2",BH29,0),2)</f>
      </c>
      <c r="AG29" s="45">
        <f>ROUND(IF(AQ29="2",BI29,0),2)</f>
      </c>
      <c r="AH29" s="45">
        <f>ROUND(IF(AQ29="0",BJ29,0),2)</f>
      </c>
      <c r="AI29" s="28" t="s">
        <v>47</v>
      </c>
      <c r="AJ29" s="45">
        <f>IF(AN29=0,J29,0)</f>
      </c>
      <c r="AK29" s="45">
        <f>IF(AN29=15,J29,0)</f>
      </c>
      <c r="AL29" s="45">
        <f>IF(AN29=21,J29,0)</f>
      </c>
      <c r="AN29" s="45" t="n">
        <v>15</v>
      </c>
      <c r="AO29" s="45">
        <f>G29*0</f>
      </c>
      <c r="AP29" s="45">
        <f>G29*(1-0)</f>
      </c>
      <c r="AQ29" s="47" t="s">
        <v>82</v>
      </c>
      <c r="AV29" s="45">
        <f>ROUND(AW29+AX29,2)</f>
      </c>
      <c r="AW29" s="45">
        <f>ROUND(F29*AO29,2)</f>
      </c>
      <c r="AX29" s="45">
        <f>ROUND(F29*AP29,2)</f>
      </c>
      <c r="AY29" s="47" t="s">
        <v>107</v>
      </c>
      <c r="AZ29" s="47" t="s">
        <v>108</v>
      </c>
      <c r="BA29" s="28" t="s">
        <v>57</v>
      </c>
      <c r="BC29" s="45">
        <f>AW29+AX29</f>
      </c>
      <c r="BD29" s="45">
        <f>G29/(100-BE29)*100</f>
      </c>
      <c r="BE29" s="45" t="n">
        <v>0</v>
      </c>
      <c r="BF29" s="45">
        <f>29</f>
      </c>
      <c r="BH29" s="45">
        <f>F29*AO29</f>
      </c>
      <c r="BI29" s="45">
        <f>F29*AP29</f>
      </c>
      <c r="BJ29" s="45">
        <f>F29*G29</f>
      </c>
      <c r="BK29" s="47" t="s">
        <v>58</v>
      </c>
      <c r="BL29" s="45" t="n">
        <v>711</v>
      </c>
      <c r="BW29" s="45" t="n">
        <v>15</v>
      </c>
      <c r="BX29" s="14" t="s">
        <v>111</v>
      </c>
    </row>
    <row r="30">
      <c r="A30" s="48" t="s">
        <v>47</v>
      </c>
      <c r="B30" s="49" t="s">
        <v>112</v>
      </c>
      <c r="C30" s="50" t="s">
        <v>113</v>
      </c>
      <c r="D30" s="49"/>
      <c r="E30" s="51" t="s">
        <v>4</v>
      </c>
      <c r="F30" s="51" t="s">
        <v>4</v>
      </c>
      <c r="G30" s="51" t="s">
        <v>4</v>
      </c>
      <c r="H30" s="2">
        <f>SUM(H31:H32)</f>
      </c>
      <c r="I30" s="2">
        <f>SUM(I31:I32)</f>
      </c>
      <c r="J30" s="2">
        <f>SUM(J31:J32)</f>
      </c>
      <c r="K30" s="52" t="s">
        <v>47</v>
      </c>
      <c r="AI30" s="28" t="s">
        <v>47</v>
      </c>
      <c r="AS30" s="2">
        <f>SUM(AJ31:AJ32)</f>
      </c>
      <c r="AT30" s="2">
        <f>SUM(AK31:AK32)</f>
      </c>
      <c r="AU30" s="2">
        <f>SUM(AL31:AL32)</f>
      </c>
    </row>
    <row r="31">
      <c r="A31" s="9" t="s">
        <v>114</v>
      </c>
      <c r="B31" s="10" t="s">
        <v>115</v>
      </c>
      <c r="C31" s="14" t="s">
        <v>116</v>
      </c>
      <c r="D31" s="10"/>
      <c r="E31" s="10" t="s">
        <v>53</v>
      </c>
      <c r="F31" s="45" t="n">
        <v>29.04</v>
      </c>
      <c r="G31" s="45" t="n">
        <v>0</v>
      </c>
      <c r="H31" s="45">
        <f>ROUND(F31*AO31,2)</f>
      </c>
      <c r="I31" s="45">
        <f>ROUND(F31*AP31,2)</f>
      </c>
      <c r="J31" s="45">
        <f>ROUND(F31*G31,2)</f>
      </c>
      <c r="K31" s="46" t="s">
        <v>54</v>
      </c>
      <c r="Z31" s="45">
        <f>ROUND(IF(AQ31="5",BJ31,0),2)</f>
      </c>
      <c r="AB31" s="45">
        <f>ROUND(IF(AQ31="1",BH31,0),2)</f>
      </c>
      <c r="AC31" s="45">
        <f>ROUND(IF(AQ31="1",BI31,0),2)</f>
      </c>
      <c r="AD31" s="45">
        <f>ROUND(IF(AQ31="7",BH31,0),2)</f>
      </c>
      <c r="AE31" s="45">
        <f>ROUND(IF(AQ31="7",BI31,0),2)</f>
      </c>
      <c r="AF31" s="45">
        <f>ROUND(IF(AQ31="2",BH31,0),2)</f>
      </c>
      <c r="AG31" s="45">
        <f>ROUND(IF(AQ31="2",BI31,0),2)</f>
      </c>
      <c r="AH31" s="45">
        <f>ROUND(IF(AQ31="0",BJ31,0),2)</f>
      </c>
      <c r="AI31" s="28" t="s">
        <v>47</v>
      </c>
      <c r="AJ31" s="45">
        <f>IF(AN31=0,J31,0)</f>
      </c>
      <c r="AK31" s="45">
        <f>IF(AN31=15,J31,0)</f>
      </c>
      <c r="AL31" s="45">
        <f>IF(AN31=21,J31,0)</f>
      </c>
      <c r="AN31" s="45" t="n">
        <v>15</v>
      </c>
      <c r="AO31" s="45">
        <f>G31*0.144024295</f>
      </c>
      <c r="AP31" s="45">
        <f>G31*(1-0.144024295)</f>
      </c>
      <c r="AQ31" s="47" t="s">
        <v>82</v>
      </c>
      <c r="AV31" s="45">
        <f>ROUND(AW31+AX31,2)</f>
      </c>
      <c r="AW31" s="45">
        <f>ROUND(F31*AO31,2)</f>
      </c>
      <c r="AX31" s="45">
        <f>ROUND(F31*AP31,2)</f>
      </c>
      <c r="AY31" s="47" t="s">
        <v>117</v>
      </c>
      <c r="AZ31" s="47" t="s">
        <v>108</v>
      </c>
      <c r="BA31" s="28" t="s">
        <v>57</v>
      </c>
      <c r="BC31" s="45">
        <f>AW31+AX31</f>
      </c>
      <c r="BD31" s="45">
        <f>G31/(100-BE31)*100</f>
      </c>
      <c r="BE31" s="45" t="n">
        <v>0</v>
      </c>
      <c r="BF31" s="45">
        <f>31</f>
      </c>
      <c r="BH31" s="45">
        <f>F31*AO31</f>
      </c>
      <c r="BI31" s="45">
        <f>F31*AP31</f>
      </c>
      <c r="BJ31" s="45">
        <f>F31*G31</f>
      </c>
      <c r="BK31" s="47" t="s">
        <v>58</v>
      </c>
      <c r="BL31" s="45" t="n">
        <v>713</v>
      </c>
      <c r="BW31" s="45" t="n">
        <v>15</v>
      </c>
      <c r="BX31" s="14" t="s">
        <v>116</v>
      </c>
    </row>
    <row r="32">
      <c r="A32" s="9" t="s">
        <v>118</v>
      </c>
      <c r="B32" s="10" t="s">
        <v>119</v>
      </c>
      <c r="C32" s="14" t="s">
        <v>120</v>
      </c>
      <c r="D32" s="10"/>
      <c r="E32" s="10" t="s">
        <v>106</v>
      </c>
      <c r="F32" s="45" t="n">
        <v>20.6</v>
      </c>
      <c r="G32" s="45" t="n">
        <v>0</v>
      </c>
      <c r="H32" s="45">
        <f>ROUND(F32*AO32,2)</f>
      </c>
      <c r="I32" s="45">
        <f>ROUND(F32*AP32,2)</f>
      </c>
      <c r="J32" s="45">
        <f>ROUND(F32*G32,2)</f>
      </c>
      <c r="K32" s="46" t="s">
        <v>54</v>
      </c>
      <c r="Z32" s="45">
        <f>ROUND(IF(AQ32="5",BJ32,0),2)</f>
      </c>
      <c r="AB32" s="45">
        <f>ROUND(IF(AQ32="1",BH32,0),2)</f>
      </c>
      <c r="AC32" s="45">
        <f>ROUND(IF(AQ32="1",BI32,0),2)</f>
      </c>
      <c r="AD32" s="45">
        <f>ROUND(IF(AQ32="7",BH32,0),2)</f>
      </c>
      <c r="AE32" s="45">
        <f>ROUND(IF(AQ32="7",BI32,0),2)</f>
      </c>
      <c r="AF32" s="45">
        <f>ROUND(IF(AQ32="2",BH32,0),2)</f>
      </c>
      <c r="AG32" s="45">
        <f>ROUND(IF(AQ32="2",BI32,0),2)</f>
      </c>
      <c r="AH32" s="45">
        <f>ROUND(IF(AQ32="0",BJ32,0),2)</f>
      </c>
      <c r="AI32" s="28" t="s">
        <v>47</v>
      </c>
      <c r="AJ32" s="45">
        <f>IF(AN32=0,J32,0)</f>
      </c>
      <c r="AK32" s="45">
        <f>IF(AN32=15,J32,0)</f>
      </c>
      <c r="AL32" s="45">
        <f>IF(AN32=21,J32,0)</f>
      </c>
      <c r="AN32" s="45" t="n">
        <v>15</v>
      </c>
      <c r="AO32" s="45">
        <f>G32*0.067368855</f>
      </c>
      <c r="AP32" s="45">
        <f>G32*(1-0.067368855)</f>
      </c>
      <c r="AQ32" s="47" t="s">
        <v>82</v>
      </c>
      <c r="AV32" s="45">
        <f>ROUND(AW32+AX32,2)</f>
      </c>
      <c r="AW32" s="45">
        <f>ROUND(F32*AO32,2)</f>
      </c>
      <c r="AX32" s="45">
        <f>ROUND(F32*AP32,2)</f>
      </c>
      <c r="AY32" s="47" t="s">
        <v>117</v>
      </c>
      <c r="AZ32" s="47" t="s">
        <v>108</v>
      </c>
      <c r="BA32" s="28" t="s">
        <v>57</v>
      </c>
      <c r="BC32" s="45">
        <f>AW32+AX32</f>
      </c>
      <c r="BD32" s="45">
        <f>G32/(100-BE32)*100</f>
      </c>
      <c r="BE32" s="45" t="n">
        <v>0</v>
      </c>
      <c r="BF32" s="45">
        <f>32</f>
      </c>
      <c r="BH32" s="45">
        <f>F32*AO32</f>
      </c>
      <c r="BI32" s="45">
        <f>F32*AP32</f>
      </c>
      <c r="BJ32" s="45">
        <f>F32*G32</f>
      </c>
      <c r="BK32" s="47" t="s">
        <v>58</v>
      </c>
      <c r="BL32" s="45" t="n">
        <v>713</v>
      </c>
      <c r="BW32" s="45" t="n">
        <v>15</v>
      </c>
      <c r="BX32" s="14" t="s">
        <v>120</v>
      </c>
    </row>
    <row r="33">
      <c r="A33" s="48" t="s">
        <v>47</v>
      </c>
      <c r="B33" s="49" t="s">
        <v>121</v>
      </c>
      <c r="C33" s="50" t="s">
        <v>122</v>
      </c>
      <c r="D33" s="49"/>
      <c r="E33" s="51" t="s">
        <v>4</v>
      </c>
      <c r="F33" s="51" t="s">
        <v>4</v>
      </c>
      <c r="G33" s="51" t="s">
        <v>4</v>
      </c>
      <c r="H33" s="2">
        <f>SUM(H34:H34)</f>
      </c>
      <c r="I33" s="2">
        <f>SUM(I34:I34)</f>
      </c>
      <c r="J33" s="2">
        <f>SUM(J34:J34)</f>
      </c>
      <c r="K33" s="52" t="s">
        <v>47</v>
      </c>
      <c r="AI33" s="28" t="s">
        <v>47</v>
      </c>
      <c r="AS33" s="2">
        <f>SUM(AJ34:AJ34)</f>
      </c>
      <c r="AT33" s="2">
        <f>SUM(AK34:AK34)</f>
      </c>
      <c r="AU33" s="2">
        <f>SUM(AL34:AL34)</f>
      </c>
    </row>
    <row r="34">
      <c r="A34" s="9" t="s">
        <v>123</v>
      </c>
      <c r="B34" s="10" t="s">
        <v>124</v>
      </c>
      <c r="C34" s="14" t="s">
        <v>125</v>
      </c>
      <c r="D34" s="10"/>
      <c r="E34" s="10" t="s">
        <v>99</v>
      </c>
      <c r="F34" s="45" t="n">
        <v>8</v>
      </c>
      <c r="G34" s="45" t="n">
        <v>0</v>
      </c>
      <c r="H34" s="45">
        <f>ROUND(F34*AO34,2)</f>
      </c>
      <c r="I34" s="45">
        <f>ROUND(F34*AP34,2)</f>
      </c>
      <c r="J34" s="45">
        <f>ROUND(F34*G34,2)</f>
      </c>
      <c r="K34" s="46" t="s">
        <v>54</v>
      </c>
      <c r="Z34" s="45">
        <f>ROUND(IF(AQ34="5",BJ34,0),2)</f>
      </c>
      <c r="AB34" s="45">
        <f>ROUND(IF(AQ34="1",BH34,0),2)</f>
      </c>
      <c r="AC34" s="45">
        <f>ROUND(IF(AQ34="1",BI34,0),2)</f>
      </c>
      <c r="AD34" s="45">
        <f>ROUND(IF(AQ34="7",BH34,0),2)</f>
      </c>
      <c r="AE34" s="45">
        <f>ROUND(IF(AQ34="7",BI34,0),2)</f>
      </c>
      <c r="AF34" s="45">
        <f>ROUND(IF(AQ34="2",BH34,0),2)</f>
      </c>
      <c r="AG34" s="45">
        <f>ROUND(IF(AQ34="2",BI34,0),2)</f>
      </c>
      <c r="AH34" s="45">
        <f>ROUND(IF(AQ34="0",BJ34,0),2)</f>
      </c>
      <c r="AI34" s="28" t="s">
        <v>47</v>
      </c>
      <c r="AJ34" s="45">
        <f>IF(AN34=0,J34,0)</f>
      </c>
      <c r="AK34" s="45">
        <f>IF(AN34=15,J34,0)</f>
      </c>
      <c r="AL34" s="45">
        <f>IF(AN34=21,J34,0)</f>
      </c>
      <c r="AN34" s="45" t="n">
        <v>15</v>
      </c>
      <c r="AO34" s="45">
        <f>G34*0</f>
      </c>
      <c r="AP34" s="45">
        <f>G34*(1-0)</f>
      </c>
      <c r="AQ34" s="47" t="s">
        <v>82</v>
      </c>
      <c r="AV34" s="45">
        <f>ROUND(AW34+AX34,2)</f>
      </c>
      <c r="AW34" s="45">
        <f>ROUND(F34*AO34,2)</f>
      </c>
      <c r="AX34" s="45">
        <f>ROUND(F34*AP34,2)</f>
      </c>
      <c r="AY34" s="47" t="s">
        <v>126</v>
      </c>
      <c r="AZ34" s="47" t="s">
        <v>127</v>
      </c>
      <c r="BA34" s="28" t="s">
        <v>57</v>
      </c>
      <c r="BC34" s="45">
        <f>AW34+AX34</f>
      </c>
      <c r="BD34" s="45">
        <f>G34/(100-BE34)*100</f>
      </c>
      <c r="BE34" s="45" t="n">
        <v>0</v>
      </c>
      <c r="BF34" s="45">
        <f>34</f>
      </c>
      <c r="BH34" s="45">
        <f>F34*AO34</f>
      </c>
      <c r="BI34" s="45">
        <f>F34*AP34</f>
      </c>
      <c r="BJ34" s="45">
        <f>F34*G34</f>
      </c>
      <c r="BK34" s="47" t="s">
        <v>58</v>
      </c>
      <c r="BL34" s="45" t="n">
        <v>767</v>
      </c>
      <c r="BW34" s="45" t="n">
        <v>15</v>
      </c>
      <c r="BX34" s="14" t="s">
        <v>125</v>
      </c>
    </row>
    <row r="35">
      <c r="A35" s="48" t="s">
        <v>47</v>
      </c>
      <c r="B35" s="49" t="s">
        <v>128</v>
      </c>
      <c r="C35" s="50" t="s">
        <v>129</v>
      </c>
      <c r="D35" s="49"/>
      <c r="E35" s="51" t="s">
        <v>4</v>
      </c>
      <c r="F35" s="51" t="s">
        <v>4</v>
      </c>
      <c r="G35" s="51" t="s">
        <v>4</v>
      </c>
      <c r="H35" s="2">
        <f>SUM(H36:H41)</f>
      </c>
      <c r="I35" s="2">
        <f>SUM(I36:I41)</f>
      </c>
      <c r="J35" s="2">
        <f>SUM(J36:J41)</f>
      </c>
      <c r="K35" s="52" t="s">
        <v>47</v>
      </c>
      <c r="AI35" s="28" t="s">
        <v>47</v>
      </c>
      <c r="AS35" s="2">
        <f>SUM(AJ36:AJ41)</f>
      </c>
      <c r="AT35" s="2">
        <f>SUM(AK36:AK41)</f>
      </c>
      <c r="AU35" s="2">
        <f>SUM(AL36:AL41)</f>
      </c>
    </row>
    <row r="36">
      <c r="A36" s="9" t="s">
        <v>130</v>
      </c>
      <c r="B36" s="10" t="s">
        <v>131</v>
      </c>
      <c r="C36" s="14" t="s">
        <v>132</v>
      </c>
      <c r="D36" s="10"/>
      <c r="E36" s="10" t="s">
        <v>53</v>
      </c>
      <c r="F36" s="45" t="n">
        <v>164.7</v>
      </c>
      <c r="G36" s="45" t="n">
        <v>0</v>
      </c>
      <c r="H36" s="45">
        <f>ROUND(F36*AO36,2)</f>
      </c>
      <c r="I36" s="45">
        <f>ROUND(F36*AP36,2)</f>
      </c>
      <c r="J36" s="45">
        <f>ROUND(F36*G36,2)</f>
      </c>
      <c r="K36" s="46" t="s">
        <v>54</v>
      </c>
      <c r="Z36" s="45">
        <f>ROUND(IF(AQ36="5",BJ36,0),2)</f>
      </c>
      <c r="AB36" s="45">
        <f>ROUND(IF(AQ36="1",BH36,0),2)</f>
      </c>
      <c r="AC36" s="45">
        <f>ROUND(IF(AQ36="1",BI36,0),2)</f>
      </c>
      <c r="AD36" s="45">
        <f>ROUND(IF(AQ36="7",BH36,0),2)</f>
      </c>
      <c r="AE36" s="45">
        <f>ROUND(IF(AQ36="7",BI36,0),2)</f>
      </c>
      <c r="AF36" s="45">
        <f>ROUND(IF(AQ36="2",BH36,0),2)</f>
      </c>
      <c r="AG36" s="45">
        <f>ROUND(IF(AQ36="2",BI36,0),2)</f>
      </c>
      <c r="AH36" s="45">
        <f>ROUND(IF(AQ36="0",BJ36,0),2)</f>
      </c>
      <c r="AI36" s="28" t="s">
        <v>47</v>
      </c>
      <c r="AJ36" s="45">
        <f>IF(AN36=0,J36,0)</f>
      </c>
      <c r="AK36" s="45">
        <f>IF(AN36=15,J36,0)</f>
      </c>
      <c r="AL36" s="45">
        <f>IF(AN36=21,J36,0)</f>
      </c>
      <c r="AN36" s="45" t="n">
        <v>15</v>
      </c>
      <c r="AO36" s="45">
        <f>G36*0.422532595</f>
      </c>
      <c r="AP36" s="45">
        <f>G36*(1-0.422532595)</f>
      </c>
      <c r="AQ36" s="47" t="s">
        <v>82</v>
      </c>
      <c r="AV36" s="45">
        <f>ROUND(AW36+AX36,2)</f>
      </c>
      <c r="AW36" s="45">
        <f>ROUND(F36*AO36,2)</f>
      </c>
      <c r="AX36" s="45">
        <f>ROUND(F36*AP36,2)</f>
      </c>
      <c r="AY36" s="47" t="s">
        <v>133</v>
      </c>
      <c r="AZ36" s="47" t="s">
        <v>134</v>
      </c>
      <c r="BA36" s="28" t="s">
        <v>57</v>
      </c>
      <c r="BC36" s="45">
        <f>AW36+AX36</f>
      </c>
      <c r="BD36" s="45">
        <f>G36/(100-BE36)*100</f>
      </c>
      <c r="BE36" s="45" t="n">
        <v>0</v>
      </c>
      <c r="BF36" s="45">
        <f>36</f>
      </c>
      <c r="BH36" s="45">
        <f>F36*AO36</f>
      </c>
      <c r="BI36" s="45">
        <f>F36*AP36</f>
      </c>
      <c r="BJ36" s="45">
        <f>F36*G36</f>
      </c>
      <c r="BK36" s="47" t="s">
        <v>58</v>
      </c>
      <c r="BL36" s="45" t="n">
        <v>771</v>
      </c>
      <c r="BW36" s="45" t="n">
        <v>15</v>
      </c>
      <c r="BX36" s="14" t="s">
        <v>132</v>
      </c>
    </row>
    <row r="37">
      <c r="A37" s="9" t="s">
        <v>135</v>
      </c>
      <c r="B37" s="10" t="s">
        <v>136</v>
      </c>
      <c r="C37" s="14" t="s">
        <v>137</v>
      </c>
      <c r="D37" s="10"/>
      <c r="E37" s="10" t="s">
        <v>53</v>
      </c>
      <c r="F37" s="45" t="n">
        <v>164.7</v>
      </c>
      <c r="G37" s="45" t="n">
        <v>0</v>
      </c>
      <c r="H37" s="45">
        <f>ROUND(F37*AO37,2)</f>
      </c>
      <c r="I37" s="45">
        <f>ROUND(F37*AP37,2)</f>
      </c>
      <c r="J37" s="45">
        <f>ROUND(F37*G37,2)</f>
      </c>
      <c r="K37" s="46" t="s">
        <v>54</v>
      </c>
      <c r="Z37" s="45">
        <f>ROUND(IF(AQ37="5",BJ37,0),2)</f>
      </c>
      <c r="AB37" s="45">
        <f>ROUND(IF(AQ37="1",BH37,0),2)</f>
      </c>
      <c r="AC37" s="45">
        <f>ROUND(IF(AQ37="1",BI37,0),2)</f>
      </c>
      <c r="AD37" s="45">
        <f>ROUND(IF(AQ37="7",BH37,0),2)</f>
      </c>
      <c r="AE37" s="45">
        <f>ROUND(IF(AQ37="7",BI37,0),2)</f>
      </c>
      <c r="AF37" s="45">
        <f>ROUND(IF(AQ37="2",BH37,0),2)</f>
      </c>
      <c r="AG37" s="45">
        <f>ROUND(IF(AQ37="2",BI37,0),2)</f>
      </c>
      <c r="AH37" s="45">
        <f>ROUND(IF(AQ37="0",BJ37,0),2)</f>
      </c>
      <c r="AI37" s="28" t="s">
        <v>47</v>
      </c>
      <c r="AJ37" s="45">
        <f>IF(AN37=0,J37,0)</f>
      </c>
      <c r="AK37" s="45">
        <f>IF(AN37=15,J37,0)</f>
      </c>
      <c r="AL37" s="45">
        <f>IF(AN37=21,J37,0)</f>
      </c>
      <c r="AN37" s="45" t="n">
        <v>15</v>
      </c>
      <c r="AO37" s="45">
        <f>G37*0</f>
      </c>
      <c r="AP37" s="45">
        <f>G37*(1-0)</f>
      </c>
      <c r="AQ37" s="47" t="s">
        <v>82</v>
      </c>
      <c r="AV37" s="45">
        <f>ROUND(AW37+AX37,2)</f>
      </c>
      <c r="AW37" s="45">
        <f>ROUND(F37*AO37,2)</f>
      </c>
      <c r="AX37" s="45">
        <f>ROUND(F37*AP37,2)</f>
      </c>
      <c r="AY37" s="47" t="s">
        <v>133</v>
      </c>
      <c r="AZ37" s="47" t="s">
        <v>134</v>
      </c>
      <c r="BA37" s="28" t="s">
        <v>57</v>
      </c>
      <c r="BC37" s="45">
        <f>AW37+AX37</f>
      </c>
      <c r="BD37" s="45">
        <f>G37/(100-BE37)*100</f>
      </c>
      <c r="BE37" s="45" t="n">
        <v>0</v>
      </c>
      <c r="BF37" s="45">
        <f>37</f>
      </c>
      <c r="BH37" s="45">
        <f>F37*AO37</f>
      </c>
      <c r="BI37" s="45">
        <f>F37*AP37</f>
      </c>
      <c r="BJ37" s="45">
        <f>F37*G37</f>
      </c>
      <c r="BK37" s="47" t="s">
        <v>58</v>
      </c>
      <c r="BL37" s="45" t="n">
        <v>771</v>
      </c>
      <c r="BW37" s="45" t="n">
        <v>15</v>
      </c>
      <c r="BX37" s="14" t="s">
        <v>137</v>
      </c>
    </row>
    <row r="38">
      <c r="A38" s="9" t="s">
        <v>138</v>
      </c>
      <c r="B38" s="10" t="s">
        <v>139</v>
      </c>
      <c r="C38" s="14" t="s">
        <v>140</v>
      </c>
      <c r="D38" s="10"/>
      <c r="E38" s="10" t="s">
        <v>53</v>
      </c>
      <c r="F38" s="45" t="n">
        <v>164.7</v>
      </c>
      <c r="G38" s="45" t="n">
        <v>0</v>
      </c>
      <c r="H38" s="45">
        <f>ROUND(F38*AO38,2)</f>
      </c>
      <c r="I38" s="45">
        <f>ROUND(F38*AP38,2)</f>
      </c>
      <c r="J38" s="45">
        <f>ROUND(F38*G38,2)</f>
      </c>
      <c r="K38" s="46" t="s">
        <v>54</v>
      </c>
      <c r="Z38" s="45">
        <f>ROUND(IF(AQ38="5",BJ38,0),2)</f>
      </c>
      <c r="AB38" s="45">
        <f>ROUND(IF(AQ38="1",BH38,0),2)</f>
      </c>
      <c r="AC38" s="45">
        <f>ROUND(IF(AQ38="1",BI38,0),2)</f>
      </c>
      <c r="AD38" s="45">
        <f>ROUND(IF(AQ38="7",BH38,0),2)</f>
      </c>
      <c r="AE38" s="45">
        <f>ROUND(IF(AQ38="7",BI38,0),2)</f>
      </c>
      <c r="AF38" s="45">
        <f>ROUND(IF(AQ38="2",BH38,0),2)</f>
      </c>
      <c r="AG38" s="45">
        <f>ROUND(IF(AQ38="2",BI38,0),2)</f>
      </c>
      <c r="AH38" s="45">
        <f>ROUND(IF(AQ38="0",BJ38,0),2)</f>
      </c>
      <c r="AI38" s="28" t="s">
        <v>47</v>
      </c>
      <c r="AJ38" s="45">
        <f>IF(AN38=0,J38,0)</f>
      </c>
      <c r="AK38" s="45">
        <f>IF(AN38=15,J38,0)</f>
      </c>
      <c r="AL38" s="45">
        <f>IF(AN38=21,J38,0)</f>
      </c>
      <c r="AN38" s="45" t="n">
        <v>15</v>
      </c>
      <c r="AO38" s="45">
        <f>G38*1</f>
      </c>
      <c r="AP38" s="45">
        <f>G38*(1-1)</f>
      </c>
      <c r="AQ38" s="47" t="s">
        <v>82</v>
      </c>
      <c r="AV38" s="45">
        <f>ROUND(AW38+AX38,2)</f>
      </c>
      <c r="AW38" s="45">
        <f>ROUND(F38*AO38,2)</f>
      </c>
      <c r="AX38" s="45">
        <f>ROUND(F38*AP38,2)</f>
      </c>
      <c r="AY38" s="47" t="s">
        <v>133</v>
      </c>
      <c r="AZ38" s="47" t="s">
        <v>134</v>
      </c>
      <c r="BA38" s="28" t="s">
        <v>57</v>
      </c>
      <c r="BC38" s="45">
        <f>AW38+AX38</f>
      </c>
      <c r="BD38" s="45">
        <f>G38/(100-BE38)*100</f>
      </c>
      <c r="BE38" s="45" t="n">
        <v>0</v>
      </c>
      <c r="BF38" s="45">
        <f>38</f>
      </c>
      <c r="BH38" s="45">
        <f>F38*AO38</f>
      </c>
      <c r="BI38" s="45">
        <f>F38*AP38</f>
      </c>
      <c r="BJ38" s="45">
        <f>F38*G38</f>
      </c>
      <c r="BK38" s="47" t="s">
        <v>58</v>
      </c>
      <c r="BL38" s="45" t="n">
        <v>771</v>
      </c>
      <c r="BW38" s="45" t="n">
        <v>15</v>
      </c>
      <c r="BX38" s="14" t="s">
        <v>140</v>
      </c>
    </row>
    <row r="39">
      <c r="A39" s="9" t="s">
        <v>141</v>
      </c>
      <c r="B39" s="10" t="s">
        <v>142</v>
      </c>
      <c r="C39" s="14" t="s">
        <v>143</v>
      </c>
      <c r="D39" s="10"/>
      <c r="E39" s="10" t="s">
        <v>106</v>
      </c>
      <c r="F39" s="45" t="n">
        <v>173.3</v>
      </c>
      <c r="G39" s="45" t="n">
        <v>0</v>
      </c>
      <c r="H39" s="45">
        <f>ROUND(F39*AO39,2)</f>
      </c>
      <c r="I39" s="45">
        <f>ROUND(F39*AP39,2)</f>
      </c>
      <c r="J39" s="45">
        <f>ROUND(F39*G39,2)</f>
      </c>
      <c r="K39" s="46" t="s">
        <v>54</v>
      </c>
      <c r="Z39" s="45">
        <f>ROUND(IF(AQ39="5",BJ39,0),2)</f>
      </c>
      <c r="AB39" s="45">
        <f>ROUND(IF(AQ39="1",BH39,0),2)</f>
      </c>
      <c r="AC39" s="45">
        <f>ROUND(IF(AQ39="1",BI39,0),2)</f>
      </c>
      <c r="AD39" s="45">
        <f>ROUND(IF(AQ39="7",BH39,0),2)</f>
      </c>
      <c r="AE39" s="45">
        <f>ROUND(IF(AQ39="7",BI39,0),2)</f>
      </c>
      <c r="AF39" s="45">
        <f>ROUND(IF(AQ39="2",BH39,0),2)</f>
      </c>
      <c r="AG39" s="45">
        <f>ROUND(IF(AQ39="2",BI39,0),2)</f>
      </c>
      <c r="AH39" s="45">
        <f>ROUND(IF(AQ39="0",BJ39,0),2)</f>
      </c>
      <c r="AI39" s="28" t="s">
        <v>47</v>
      </c>
      <c r="AJ39" s="45">
        <f>IF(AN39=0,J39,0)</f>
      </c>
      <c r="AK39" s="45">
        <f>IF(AN39=15,J39,0)</f>
      </c>
      <c r="AL39" s="45">
        <f>IF(AN39=21,J39,0)</f>
      </c>
      <c r="AN39" s="45" t="n">
        <v>15</v>
      </c>
      <c r="AO39" s="45">
        <f>G39*0.445196758</f>
      </c>
      <c r="AP39" s="45">
        <f>G39*(1-0.445196758)</f>
      </c>
      <c r="AQ39" s="47" t="s">
        <v>82</v>
      </c>
      <c r="AV39" s="45">
        <f>ROUND(AW39+AX39,2)</f>
      </c>
      <c r="AW39" s="45">
        <f>ROUND(F39*AO39,2)</f>
      </c>
      <c r="AX39" s="45">
        <f>ROUND(F39*AP39,2)</f>
      </c>
      <c r="AY39" s="47" t="s">
        <v>133</v>
      </c>
      <c r="AZ39" s="47" t="s">
        <v>134</v>
      </c>
      <c r="BA39" s="28" t="s">
        <v>57</v>
      </c>
      <c r="BC39" s="45">
        <f>AW39+AX39</f>
      </c>
      <c r="BD39" s="45">
        <f>G39/(100-BE39)*100</f>
      </c>
      <c r="BE39" s="45" t="n">
        <v>0</v>
      </c>
      <c r="BF39" s="45">
        <f>39</f>
      </c>
      <c r="BH39" s="45">
        <f>F39*AO39</f>
      </c>
      <c r="BI39" s="45">
        <f>F39*AP39</f>
      </c>
      <c r="BJ39" s="45">
        <f>F39*G39</f>
      </c>
      <c r="BK39" s="47" t="s">
        <v>58</v>
      </c>
      <c r="BL39" s="45" t="n">
        <v>771</v>
      </c>
      <c r="BW39" s="45" t="n">
        <v>15</v>
      </c>
      <c r="BX39" s="14" t="s">
        <v>143</v>
      </c>
    </row>
    <row r="40">
      <c r="A40" s="9" t="s">
        <v>48</v>
      </c>
      <c r="B40" s="10" t="s">
        <v>144</v>
      </c>
      <c r="C40" s="14" t="s">
        <v>145</v>
      </c>
      <c r="D40" s="10"/>
      <c r="E40" s="10" t="s">
        <v>106</v>
      </c>
      <c r="F40" s="45" t="n">
        <v>173.3</v>
      </c>
      <c r="G40" s="45" t="n">
        <v>0</v>
      </c>
      <c r="H40" s="45">
        <f>ROUND(F40*AO40,2)</f>
      </c>
      <c r="I40" s="45">
        <f>ROUND(F40*AP40,2)</f>
      </c>
      <c r="J40" s="45">
        <f>ROUND(F40*G40,2)</f>
      </c>
      <c r="K40" s="46" t="s">
        <v>54</v>
      </c>
      <c r="Z40" s="45">
        <f>ROUND(IF(AQ40="5",BJ40,0),2)</f>
      </c>
      <c r="AB40" s="45">
        <f>ROUND(IF(AQ40="1",BH40,0),2)</f>
      </c>
      <c r="AC40" s="45">
        <f>ROUND(IF(AQ40="1",BI40,0),2)</f>
      </c>
      <c r="AD40" s="45">
        <f>ROUND(IF(AQ40="7",BH40,0),2)</f>
      </c>
      <c r="AE40" s="45">
        <f>ROUND(IF(AQ40="7",BI40,0),2)</f>
      </c>
      <c r="AF40" s="45">
        <f>ROUND(IF(AQ40="2",BH40,0),2)</f>
      </c>
      <c r="AG40" s="45">
        <f>ROUND(IF(AQ40="2",BI40,0),2)</f>
      </c>
      <c r="AH40" s="45">
        <f>ROUND(IF(AQ40="0",BJ40,0),2)</f>
      </c>
      <c r="AI40" s="28" t="s">
        <v>47</v>
      </c>
      <c r="AJ40" s="45">
        <f>IF(AN40=0,J40,0)</f>
      </c>
      <c r="AK40" s="45">
        <f>IF(AN40=15,J40,0)</f>
      </c>
      <c r="AL40" s="45">
        <f>IF(AN40=21,J40,0)</f>
      </c>
      <c r="AN40" s="45" t="n">
        <v>15</v>
      </c>
      <c r="AO40" s="45">
        <f>G40*0.225361252</f>
      </c>
      <c r="AP40" s="45">
        <f>G40*(1-0.225361252)</f>
      </c>
      <c r="AQ40" s="47" t="s">
        <v>82</v>
      </c>
      <c r="AV40" s="45">
        <f>ROUND(AW40+AX40,2)</f>
      </c>
      <c r="AW40" s="45">
        <f>ROUND(F40*AO40,2)</f>
      </c>
      <c r="AX40" s="45">
        <f>ROUND(F40*AP40,2)</f>
      </c>
      <c r="AY40" s="47" t="s">
        <v>133</v>
      </c>
      <c r="AZ40" s="47" t="s">
        <v>134</v>
      </c>
      <c r="BA40" s="28" t="s">
        <v>57</v>
      </c>
      <c r="BC40" s="45">
        <f>AW40+AX40</f>
      </c>
      <c r="BD40" s="45">
        <f>G40/(100-BE40)*100</f>
      </c>
      <c r="BE40" s="45" t="n">
        <v>0</v>
      </c>
      <c r="BF40" s="45">
        <f>40</f>
      </c>
      <c r="BH40" s="45">
        <f>F40*AO40</f>
      </c>
      <c r="BI40" s="45">
        <f>F40*AP40</f>
      </c>
      <c r="BJ40" s="45">
        <f>F40*G40</f>
      </c>
      <c r="BK40" s="47" t="s">
        <v>58</v>
      </c>
      <c r="BL40" s="45" t="n">
        <v>771</v>
      </c>
      <c r="BW40" s="45" t="n">
        <v>15</v>
      </c>
      <c r="BX40" s="14" t="s">
        <v>145</v>
      </c>
    </row>
    <row r="41">
      <c r="A41" s="9" t="s">
        <v>146</v>
      </c>
      <c r="B41" s="10" t="s">
        <v>73</v>
      </c>
      <c r="C41" s="14" t="s">
        <v>74</v>
      </c>
      <c r="D41" s="10"/>
      <c r="E41" s="10" t="s">
        <v>75</v>
      </c>
      <c r="F41" s="45" t="n">
        <v>0.22352</v>
      </c>
      <c r="G41" s="45" t="n">
        <v>0</v>
      </c>
      <c r="H41" s="45">
        <f>ROUND(F41*AO41,2)</f>
      </c>
      <c r="I41" s="45">
        <f>ROUND(F41*AP41,2)</f>
      </c>
      <c r="J41" s="45">
        <f>ROUND(F41*G41,2)</f>
      </c>
      <c r="K41" s="46" t="s">
        <v>54</v>
      </c>
      <c r="Z41" s="45">
        <f>ROUND(IF(AQ41="5",BJ41,0),2)</f>
      </c>
      <c r="AB41" s="45">
        <f>ROUND(IF(AQ41="1",BH41,0),2)</f>
      </c>
      <c r="AC41" s="45">
        <f>ROUND(IF(AQ41="1",BI41,0),2)</f>
      </c>
      <c r="AD41" s="45">
        <f>ROUND(IF(AQ41="7",BH41,0),2)</f>
      </c>
      <c r="AE41" s="45">
        <f>ROUND(IF(AQ41="7",BI41,0),2)</f>
      </c>
      <c r="AF41" s="45">
        <f>ROUND(IF(AQ41="2",BH41,0),2)</f>
      </c>
      <c r="AG41" s="45">
        <f>ROUND(IF(AQ41="2",BI41,0),2)</f>
      </c>
      <c r="AH41" s="45">
        <f>ROUND(IF(AQ41="0",BJ41,0),2)</f>
      </c>
      <c r="AI41" s="28" t="s">
        <v>47</v>
      </c>
      <c r="AJ41" s="45">
        <f>IF(AN41=0,J41,0)</f>
      </c>
      <c r="AK41" s="45">
        <f>IF(AN41=15,J41,0)</f>
      </c>
      <c r="AL41" s="45">
        <f>IF(AN41=21,J41,0)</f>
      </c>
      <c r="AN41" s="45" t="n">
        <v>15</v>
      </c>
      <c r="AO41" s="45">
        <f>G41*0</f>
      </c>
      <c r="AP41" s="45">
        <f>G41*(1-0)</f>
      </c>
      <c r="AQ41" s="47" t="s">
        <v>72</v>
      </c>
      <c r="AV41" s="45">
        <f>ROUND(AW41+AX41,2)</f>
      </c>
      <c r="AW41" s="45">
        <f>ROUND(F41*AO41,2)</f>
      </c>
      <c r="AX41" s="45">
        <f>ROUND(F41*AP41,2)</f>
      </c>
      <c r="AY41" s="47" t="s">
        <v>133</v>
      </c>
      <c r="AZ41" s="47" t="s">
        <v>134</v>
      </c>
      <c r="BA41" s="28" t="s">
        <v>57</v>
      </c>
      <c r="BC41" s="45">
        <f>AW41+AX41</f>
      </c>
      <c r="BD41" s="45">
        <f>G41/(100-BE41)*100</f>
      </c>
      <c r="BE41" s="45" t="n">
        <v>0</v>
      </c>
      <c r="BF41" s="45">
        <f>41</f>
      </c>
      <c r="BH41" s="45">
        <f>F41*AO41</f>
      </c>
      <c r="BI41" s="45">
        <f>F41*AP41</f>
      </c>
      <c r="BJ41" s="45">
        <f>F41*G41</f>
      </c>
      <c r="BK41" s="47" t="s">
        <v>58</v>
      </c>
      <c r="BL41" s="45" t="n">
        <v>771</v>
      </c>
      <c r="BW41" s="45" t="n">
        <v>15</v>
      </c>
      <c r="BX41" s="14" t="s">
        <v>74</v>
      </c>
    </row>
    <row r="42">
      <c r="A42" s="48" t="s">
        <v>47</v>
      </c>
      <c r="B42" s="49" t="s">
        <v>147</v>
      </c>
      <c r="C42" s="50" t="s">
        <v>148</v>
      </c>
      <c r="D42" s="49"/>
      <c r="E42" s="51" t="s">
        <v>4</v>
      </c>
      <c r="F42" s="51" t="s">
        <v>4</v>
      </c>
      <c r="G42" s="51" t="s">
        <v>4</v>
      </c>
      <c r="H42" s="2">
        <f>SUM(H43:H43)</f>
      </c>
      <c r="I42" s="2">
        <f>SUM(I43:I43)</f>
      </c>
      <c r="J42" s="2">
        <f>SUM(J43:J43)</f>
      </c>
      <c r="K42" s="52" t="s">
        <v>47</v>
      </c>
      <c r="AI42" s="28" t="s">
        <v>47</v>
      </c>
      <c r="AS42" s="2">
        <f>SUM(AJ43:AJ43)</f>
      </c>
      <c r="AT42" s="2">
        <f>SUM(AK43:AK43)</f>
      </c>
      <c r="AU42" s="2">
        <f>SUM(AL43:AL43)</f>
      </c>
    </row>
    <row r="43">
      <c r="A43" s="9" t="s">
        <v>149</v>
      </c>
      <c r="B43" s="10" t="s">
        <v>150</v>
      </c>
      <c r="C43" s="14" t="s">
        <v>151</v>
      </c>
      <c r="D43" s="10"/>
      <c r="E43" s="10" t="s">
        <v>53</v>
      </c>
      <c r="F43" s="45" t="n">
        <v>11.52</v>
      </c>
      <c r="G43" s="45" t="n">
        <v>0</v>
      </c>
      <c r="H43" s="45">
        <f>ROUND(F43*AO43,2)</f>
      </c>
      <c r="I43" s="45">
        <f>ROUND(F43*AP43,2)</f>
      </c>
      <c r="J43" s="45">
        <f>ROUND(F43*G43,2)</f>
      </c>
      <c r="K43" s="46" t="s">
        <v>54</v>
      </c>
      <c r="Z43" s="45">
        <f>ROUND(IF(AQ43="5",BJ43,0),2)</f>
      </c>
      <c r="AB43" s="45">
        <f>ROUND(IF(AQ43="1",BH43,0),2)</f>
      </c>
      <c r="AC43" s="45">
        <f>ROUND(IF(AQ43="1",BI43,0),2)</f>
      </c>
      <c r="AD43" s="45">
        <f>ROUND(IF(AQ43="7",BH43,0),2)</f>
      </c>
      <c r="AE43" s="45">
        <f>ROUND(IF(AQ43="7",BI43,0),2)</f>
      </c>
      <c r="AF43" s="45">
        <f>ROUND(IF(AQ43="2",BH43,0),2)</f>
      </c>
      <c r="AG43" s="45">
        <f>ROUND(IF(AQ43="2",BI43,0),2)</f>
      </c>
      <c r="AH43" s="45">
        <f>ROUND(IF(AQ43="0",BJ43,0),2)</f>
      </c>
      <c r="AI43" s="28" t="s">
        <v>47</v>
      </c>
      <c r="AJ43" s="45">
        <f>IF(AN43=0,J43,0)</f>
      </c>
      <c r="AK43" s="45">
        <f>IF(AN43=15,J43,0)</f>
      </c>
      <c r="AL43" s="45">
        <f>IF(AN43=21,J43,0)</f>
      </c>
      <c r="AN43" s="45" t="n">
        <v>15</v>
      </c>
      <c r="AO43" s="45">
        <f>G43*0.359680556</f>
      </c>
      <c r="AP43" s="45">
        <f>G43*(1-0.359680556)</f>
      </c>
      <c r="AQ43" s="47" t="s">
        <v>82</v>
      </c>
      <c r="AV43" s="45">
        <f>ROUND(AW43+AX43,2)</f>
      </c>
      <c r="AW43" s="45">
        <f>ROUND(F43*AO43,2)</f>
      </c>
      <c r="AX43" s="45">
        <f>ROUND(F43*AP43,2)</f>
      </c>
      <c r="AY43" s="47" t="s">
        <v>152</v>
      </c>
      <c r="AZ43" s="47" t="s">
        <v>153</v>
      </c>
      <c r="BA43" s="28" t="s">
        <v>57</v>
      </c>
      <c r="BC43" s="45">
        <f>AW43+AX43</f>
      </c>
      <c r="BD43" s="45">
        <f>G43/(100-BE43)*100</f>
      </c>
      <c r="BE43" s="45" t="n">
        <v>0</v>
      </c>
      <c r="BF43" s="45">
        <f>43</f>
      </c>
      <c r="BH43" s="45">
        <f>F43*AO43</f>
      </c>
      <c r="BI43" s="45">
        <f>F43*AP43</f>
      </c>
      <c r="BJ43" s="45">
        <f>F43*G43</f>
      </c>
      <c r="BK43" s="47" t="s">
        <v>58</v>
      </c>
      <c r="BL43" s="45" t="n">
        <v>783</v>
      </c>
      <c r="BW43" s="45" t="n">
        <v>15</v>
      </c>
      <c r="BX43" s="14" t="s">
        <v>151</v>
      </c>
    </row>
    <row r="44">
      <c r="A44" s="48" t="s">
        <v>47</v>
      </c>
      <c r="B44" s="49" t="s">
        <v>154</v>
      </c>
      <c r="C44" s="50" t="s">
        <v>155</v>
      </c>
      <c r="D44" s="49"/>
      <c r="E44" s="51" t="s">
        <v>4</v>
      </c>
      <c r="F44" s="51" t="s">
        <v>4</v>
      </c>
      <c r="G44" s="51" t="s">
        <v>4</v>
      </c>
      <c r="H44" s="2">
        <f>SUM(H45:H46)</f>
      </c>
      <c r="I44" s="2">
        <f>SUM(I45:I46)</f>
      </c>
      <c r="J44" s="2">
        <f>SUM(J45:J46)</f>
      </c>
      <c r="K44" s="52" t="s">
        <v>47</v>
      </c>
      <c r="AI44" s="28" t="s">
        <v>47</v>
      </c>
      <c r="AS44" s="2">
        <f>SUM(AJ45:AJ46)</f>
      </c>
      <c r="AT44" s="2">
        <f>SUM(AK45:AK46)</f>
      </c>
      <c r="AU44" s="2">
        <f>SUM(AL45:AL46)</f>
      </c>
    </row>
    <row r="45">
      <c r="A45" s="9" t="s">
        <v>156</v>
      </c>
      <c r="B45" s="10" t="s">
        <v>157</v>
      </c>
      <c r="C45" s="14" t="s">
        <v>158</v>
      </c>
      <c r="D45" s="10"/>
      <c r="E45" s="10" t="s">
        <v>53</v>
      </c>
      <c r="F45" s="45" t="n">
        <v>572</v>
      </c>
      <c r="G45" s="45" t="n">
        <v>0</v>
      </c>
      <c r="H45" s="45">
        <f>ROUND(F45*AO45,2)</f>
      </c>
      <c r="I45" s="45">
        <f>ROUND(F45*AP45,2)</f>
      </c>
      <c r="J45" s="45">
        <f>ROUND(F45*G45,2)</f>
      </c>
      <c r="K45" s="46" t="s">
        <v>54</v>
      </c>
      <c r="Z45" s="45">
        <f>ROUND(IF(AQ45="5",BJ45,0),2)</f>
      </c>
      <c r="AB45" s="45">
        <f>ROUND(IF(AQ45="1",BH45,0),2)</f>
      </c>
      <c r="AC45" s="45">
        <f>ROUND(IF(AQ45="1",BI45,0),2)</f>
      </c>
      <c r="AD45" s="45">
        <f>ROUND(IF(AQ45="7",BH45,0),2)</f>
      </c>
      <c r="AE45" s="45">
        <f>ROUND(IF(AQ45="7",BI45,0),2)</f>
      </c>
      <c r="AF45" s="45">
        <f>ROUND(IF(AQ45="2",BH45,0),2)</f>
      </c>
      <c r="AG45" s="45">
        <f>ROUND(IF(AQ45="2",BI45,0),2)</f>
      </c>
      <c r="AH45" s="45">
        <f>ROUND(IF(AQ45="0",BJ45,0),2)</f>
      </c>
      <c r="AI45" s="28" t="s">
        <v>47</v>
      </c>
      <c r="AJ45" s="45">
        <f>IF(AN45=0,J45,0)</f>
      </c>
      <c r="AK45" s="45">
        <f>IF(AN45=15,J45,0)</f>
      </c>
      <c r="AL45" s="45">
        <f>IF(AN45=21,J45,0)</f>
      </c>
      <c r="AN45" s="45" t="n">
        <v>15</v>
      </c>
      <c r="AO45" s="45">
        <f>G45*0.213195021</f>
      </c>
      <c r="AP45" s="45">
        <f>G45*(1-0.213195021)</f>
      </c>
      <c r="AQ45" s="47" t="s">
        <v>82</v>
      </c>
      <c r="AV45" s="45">
        <f>ROUND(AW45+AX45,2)</f>
      </c>
      <c r="AW45" s="45">
        <f>ROUND(F45*AO45,2)</f>
      </c>
      <c r="AX45" s="45">
        <f>ROUND(F45*AP45,2)</f>
      </c>
      <c r="AY45" s="47" t="s">
        <v>159</v>
      </c>
      <c r="AZ45" s="47" t="s">
        <v>153</v>
      </c>
      <c r="BA45" s="28" t="s">
        <v>57</v>
      </c>
      <c r="BC45" s="45">
        <f>AW45+AX45</f>
      </c>
      <c r="BD45" s="45">
        <f>G45/(100-BE45)*100</f>
      </c>
      <c r="BE45" s="45" t="n">
        <v>0</v>
      </c>
      <c r="BF45" s="45">
        <f>45</f>
      </c>
      <c r="BH45" s="45">
        <f>F45*AO45</f>
      </c>
      <c r="BI45" s="45">
        <f>F45*AP45</f>
      </c>
      <c r="BJ45" s="45">
        <f>F45*G45</f>
      </c>
      <c r="BK45" s="47" t="s">
        <v>58</v>
      </c>
      <c r="BL45" s="45" t="n">
        <v>784</v>
      </c>
      <c r="BW45" s="45" t="n">
        <v>15</v>
      </c>
      <c r="BX45" s="14" t="s">
        <v>158</v>
      </c>
    </row>
    <row r="46">
      <c r="A46" s="9" t="s">
        <v>160</v>
      </c>
      <c r="B46" s="10" t="s">
        <v>161</v>
      </c>
      <c r="C46" s="14" t="s">
        <v>162</v>
      </c>
      <c r="D46" s="10"/>
      <c r="E46" s="10" t="s">
        <v>53</v>
      </c>
      <c r="F46" s="45" t="n">
        <v>479.2</v>
      </c>
      <c r="G46" s="45" t="n">
        <v>0</v>
      </c>
      <c r="H46" s="45">
        <f>ROUND(F46*AO46,2)</f>
      </c>
      <c r="I46" s="45">
        <f>ROUND(F46*AP46,2)</f>
      </c>
      <c r="J46" s="45">
        <f>ROUND(F46*G46,2)</f>
      </c>
      <c r="K46" s="46" t="s">
        <v>54</v>
      </c>
      <c r="Z46" s="45">
        <f>ROUND(IF(AQ46="5",BJ46,0),2)</f>
      </c>
      <c r="AB46" s="45">
        <f>ROUND(IF(AQ46="1",BH46,0),2)</f>
      </c>
      <c r="AC46" s="45">
        <f>ROUND(IF(AQ46="1",BI46,0),2)</f>
      </c>
      <c r="AD46" s="45">
        <f>ROUND(IF(AQ46="7",BH46,0),2)</f>
      </c>
      <c r="AE46" s="45">
        <f>ROUND(IF(AQ46="7",BI46,0),2)</f>
      </c>
      <c r="AF46" s="45">
        <f>ROUND(IF(AQ46="2",BH46,0),2)</f>
      </c>
      <c r="AG46" s="45">
        <f>ROUND(IF(AQ46="2",BI46,0),2)</f>
      </c>
      <c r="AH46" s="45">
        <f>ROUND(IF(AQ46="0",BJ46,0),2)</f>
      </c>
      <c r="AI46" s="28" t="s">
        <v>47</v>
      </c>
      <c r="AJ46" s="45">
        <f>IF(AN46=0,J46,0)</f>
      </c>
      <c r="AK46" s="45">
        <f>IF(AN46=15,J46,0)</f>
      </c>
      <c r="AL46" s="45">
        <f>IF(AN46=21,J46,0)</f>
      </c>
      <c r="AN46" s="45" t="n">
        <v>15</v>
      </c>
      <c r="AO46" s="45">
        <f>G46*0.002090381</f>
      </c>
      <c r="AP46" s="45">
        <f>G46*(1-0.002090381)</f>
      </c>
      <c r="AQ46" s="47" t="s">
        <v>82</v>
      </c>
      <c r="AV46" s="45">
        <f>ROUND(AW46+AX46,2)</f>
      </c>
      <c r="AW46" s="45">
        <f>ROUND(F46*AO46,2)</f>
      </c>
      <c r="AX46" s="45">
        <f>ROUND(F46*AP46,2)</f>
      </c>
      <c r="AY46" s="47" t="s">
        <v>159</v>
      </c>
      <c r="AZ46" s="47" t="s">
        <v>153</v>
      </c>
      <c r="BA46" s="28" t="s">
        <v>57</v>
      </c>
      <c r="BC46" s="45">
        <f>AW46+AX46</f>
      </c>
      <c r="BD46" s="45">
        <f>G46/(100-BE46)*100</f>
      </c>
      <c r="BE46" s="45" t="n">
        <v>0</v>
      </c>
      <c r="BF46" s="45">
        <f>46</f>
      </c>
      <c r="BH46" s="45">
        <f>F46*AO46</f>
      </c>
      <c r="BI46" s="45">
        <f>F46*AP46</f>
      </c>
      <c r="BJ46" s="45">
        <f>F46*G46</f>
      </c>
      <c r="BK46" s="47" t="s">
        <v>58</v>
      </c>
      <c r="BL46" s="45" t="n">
        <v>784</v>
      </c>
      <c r="BW46" s="45" t="n">
        <v>15</v>
      </c>
      <c r="BX46" s="14" t="s">
        <v>162</v>
      </c>
    </row>
    <row r="47">
      <c r="A47" s="48" t="s">
        <v>47</v>
      </c>
      <c r="B47" s="49" t="s">
        <v>163</v>
      </c>
      <c r="C47" s="50" t="s">
        <v>164</v>
      </c>
      <c r="D47" s="49"/>
      <c r="E47" s="51" t="s">
        <v>4</v>
      </c>
      <c r="F47" s="51" t="s">
        <v>4</v>
      </c>
      <c r="G47" s="51" t="s">
        <v>4</v>
      </c>
      <c r="H47" s="2">
        <f>SUM(H48:H48)</f>
      </c>
      <c r="I47" s="2">
        <f>SUM(I48:I48)</f>
      </c>
      <c r="J47" s="2">
        <f>SUM(J48:J48)</f>
      </c>
      <c r="K47" s="52" t="s">
        <v>47</v>
      </c>
      <c r="AI47" s="28" t="s">
        <v>47</v>
      </c>
      <c r="AS47" s="2">
        <f>SUM(AJ48:AJ48)</f>
      </c>
      <c r="AT47" s="2">
        <f>SUM(AK48:AK48)</f>
      </c>
      <c r="AU47" s="2">
        <f>SUM(AL48:AL48)</f>
      </c>
    </row>
    <row r="48">
      <c r="A48" s="9" t="s">
        <v>165</v>
      </c>
      <c r="B48" s="10" t="s">
        <v>166</v>
      </c>
      <c r="C48" s="14" t="s">
        <v>167</v>
      </c>
      <c r="D48" s="10"/>
      <c r="E48" s="10" t="s">
        <v>168</v>
      </c>
      <c r="F48" s="45" t="n">
        <v>8</v>
      </c>
      <c r="G48" s="45" t="n">
        <v>0</v>
      </c>
      <c r="H48" s="45">
        <f>ROUND(F48*AO48,2)</f>
      </c>
      <c r="I48" s="45">
        <f>ROUND(F48*AP48,2)</f>
      </c>
      <c r="J48" s="45">
        <f>ROUND(F48*G48,2)</f>
      </c>
      <c r="K48" s="46" t="s">
        <v>54</v>
      </c>
      <c r="Z48" s="45">
        <f>ROUND(IF(AQ48="5",BJ48,0),2)</f>
      </c>
      <c r="AB48" s="45">
        <f>ROUND(IF(AQ48="1",BH48,0),2)</f>
      </c>
      <c r="AC48" s="45">
        <f>ROUND(IF(AQ48="1",BI48,0),2)</f>
      </c>
      <c r="AD48" s="45">
        <f>ROUND(IF(AQ48="7",BH48,0),2)</f>
      </c>
      <c r="AE48" s="45">
        <f>ROUND(IF(AQ48="7",BI48,0),2)</f>
      </c>
      <c r="AF48" s="45">
        <f>ROUND(IF(AQ48="2",BH48,0),2)</f>
      </c>
      <c r="AG48" s="45">
        <f>ROUND(IF(AQ48="2",BI48,0),2)</f>
      </c>
      <c r="AH48" s="45">
        <f>ROUND(IF(AQ48="0",BJ48,0),2)</f>
      </c>
      <c r="AI48" s="28" t="s">
        <v>47</v>
      </c>
      <c r="AJ48" s="45">
        <f>IF(AN48=0,J48,0)</f>
      </c>
      <c r="AK48" s="45">
        <f>IF(AN48=15,J48,0)</f>
      </c>
      <c r="AL48" s="45">
        <f>IF(AN48=21,J48,0)</f>
      </c>
      <c r="AN48" s="45" t="n">
        <v>15</v>
      </c>
      <c r="AO48" s="45">
        <f>G48*0</f>
      </c>
      <c r="AP48" s="45">
        <f>G48*(1-0)</f>
      </c>
      <c r="AQ48" s="47" t="s">
        <v>50</v>
      </c>
      <c r="AV48" s="45">
        <f>ROUND(AW48+AX48,2)</f>
      </c>
      <c r="AW48" s="45">
        <f>ROUND(F48*AO48,2)</f>
      </c>
      <c r="AX48" s="45">
        <f>ROUND(F48*AP48,2)</f>
      </c>
      <c r="AY48" s="47" t="s">
        <v>169</v>
      </c>
      <c r="AZ48" s="47" t="s">
        <v>170</v>
      </c>
      <c r="BA48" s="28" t="s">
        <v>57</v>
      </c>
      <c r="BC48" s="45">
        <f>AW48+AX48</f>
      </c>
      <c r="BD48" s="45">
        <f>G48/(100-BE48)*100</f>
      </c>
      <c r="BE48" s="45" t="n">
        <v>0</v>
      </c>
      <c r="BF48" s="45">
        <f>48</f>
      </c>
      <c r="BH48" s="45">
        <f>F48*AO48</f>
      </c>
      <c r="BI48" s="45">
        <f>F48*AP48</f>
      </c>
      <c r="BJ48" s="45">
        <f>F48*G48</f>
      </c>
      <c r="BK48" s="47" t="s">
        <v>58</v>
      </c>
      <c r="BL48" s="45" t="n">
        <v>90</v>
      </c>
      <c r="BW48" s="45" t="n">
        <v>15</v>
      </c>
      <c r="BX48" s="14" t="s">
        <v>167</v>
      </c>
    </row>
    <row r="49">
      <c r="A49" s="48" t="s">
        <v>47</v>
      </c>
      <c r="B49" s="49" t="s">
        <v>171</v>
      </c>
      <c r="C49" s="50" t="s">
        <v>172</v>
      </c>
      <c r="D49" s="49"/>
      <c r="E49" s="51" t="s">
        <v>4</v>
      </c>
      <c r="F49" s="51" t="s">
        <v>4</v>
      </c>
      <c r="G49" s="51" t="s">
        <v>4</v>
      </c>
      <c r="H49" s="2">
        <f>SUM(H50:H50)</f>
      </c>
      <c r="I49" s="2">
        <f>SUM(I50:I50)</f>
      </c>
      <c r="J49" s="2">
        <f>SUM(J50:J50)</f>
      </c>
      <c r="K49" s="52" t="s">
        <v>47</v>
      </c>
      <c r="AI49" s="28" t="s">
        <v>47</v>
      </c>
      <c r="AS49" s="2">
        <f>SUM(AJ50:AJ50)</f>
      </c>
      <c r="AT49" s="2">
        <f>SUM(AK50:AK50)</f>
      </c>
      <c r="AU49" s="2">
        <f>SUM(AL50:AL50)</f>
      </c>
    </row>
    <row r="50">
      <c r="A50" s="9" t="s">
        <v>173</v>
      </c>
      <c r="B50" s="10" t="s">
        <v>174</v>
      </c>
      <c r="C50" s="14" t="s">
        <v>175</v>
      </c>
      <c r="D50" s="10"/>
      <c r="E50" s="10" t="s">
        <v>53</v>
      </c>
      <c r="F50" s="45" t="n">
        <v>164.7</v>
      </c>
      <c r="G50" s="45" t="n">
        <v>0</v>
      </c>
      <c r="H50" s="45">
        <f>ROUND(F50*AO50,2)</f>
      </c>
      <c r="I50" s="45">
        <f>ROUND(F50*AP50,2)</f>
      </c>
      <c r="J50" s="45">
        <f>ROUND(F50*G50,2)</f>
      </c>
      <c r="K50" s="46" t="s">
        <v>54</v>
      </c>
      <c r="Z50" s="45">
        <f>ROUND(IF(AQ50="5",BJ50,0),2)</f>
      </c>
      <c r="AB50" s="45">
        <f>ROUND(IF(AQ50="1",BH50,0),2)</f>
      </c>
      <c r="AC50" s="45">
        <f>ROUND(IF(AQ50="1",BI50,0),2)</f>
      </c>
      <c r="AD50" s="45">
        <f>ROUND(IF(AQ50="7",BH50,0),2)</f>
      </c>
      <c r="AE50" s="45">
        <f>ROUND(IF(AQ50="7",BI50,0),2)</f>
      </c>
      <c r="AF50" s="45">
        <f>ROUND(IF(AQ50="2",BH50,0),2)</f>
      </c>
      <c r="AG50" s="45">
        <f>ROUND(IF(AQ50="2",BI50,0),2)</f>
      </c>
      <c r="AH50" s="45">
        <f>ROUND(IF(AQ50="0",BJ50,0),2)</f>
      </c>
      <c r="AI50" s="28" t="s">
        <v>47</v>
      </c>
      <c r="AJ50" s="45">
        <f>IF(AN50=0,J50,0)</f>
      </c>
      <c r="AK50" s="45">
        <f>IF(AN50=15,J50,0)</f>
      </c>
      <c r="AL50" s="45">
        <f>IF(AN50=21,J50,0)</f>
      </c>
      <c r="AN50" s="45" t="n">
        <v>15</v>
      </c>
      <c r="AO50" s="45">
        <f>G50*0</f>
      </c>
      <c r="AP50" s="45">
        <f>G50*(1-0)</f>
      </c>
      <c r="AQ50" s="47" t="s">
        <v>50</v>
      </c>
      <c r="AV50" s="45">
        <f>ROUND(AW50+AX50,2)</f>
      </c>
      <c r="AW50" s="45">
        <f>ROUND(F50*AO50,2)</f>
      </c>
      <c r="AX50" s="45">
        <f>ROUND(F50*AP50,2)</f>
      </c>
      <c r="AY50" s="47" t="s">
        <v>176</v>
      </c>
      <c r="AZ50" s="47" t="s">
        <v>170</v>
      </c>
      <c r="BA50" s="28" t="s">
        <v>57</v>
      </c>
      <c r="BC50" s="45">
        <f>AW50+AX50</f>
      </c>
      <c r="BD50" s="45">
        <f>G50/(100-BE50)*100</f>
      </c>
      <c r="BE50" s="45" t="n">
        <v>0</v>
      </c>
      <c r="BF50" s="45">
        <f>50</f>
      </c>
      <c r="BH50" s="45">
        <f>F50*AO50</f>
      </c>
      <c r="BI50" s="45">
        <f>F50*AP50</f>
      </c>
      <c r="BJ50" s="45">
        <f>F50*G50</f>
      </c>
      <c r="BK50" s="47" t="s">
        <v>58</v>
      </c>
      <c r="BL50" s="45" t="n">
        <v>95</v>
      </c>
      <c r="BW50" s="45" t="n">
        <v>15</v>
      </c>
      <c r="BX50" s="14" t="s">
        <v>175</v>
      </c>
    </row>
    <row r="51">
      <c r="A51" s="48" t="s">
        <v>47</v>
      </c>
      <c r="B51" s="49" t="s">
        <v>177</v>
      </c>
      <c r="C51" s="50" t="s">
        <v>178</v>
      </c>
      <c r="D51" s="49"/>
      <c r="E51" s="51" t="s">
        <v>4</v>
      </c>
      <c r="F51" s="51" t="s">
        <v>4</v>
      </c>
      <c r="G51" s="51" t="s">
        <v>4</v>
      </c>
      <c r="H51" s="2">
        <f>SUM(H52:H54)</f>
      </c>
      <c r="I51" s="2">
        <f>SUM(I52:I54)</f>
      </c>
      <c r="J51" s="2">
        <f>SUM(J52:J54)</f>
      </c>
      <c r="K51" s="52" t="s">
        <v>47</v>
      </c>
      <c r="AI51" s="28" t="s">
        <v>47</v>
      </c>
      <c r="AS51" s="2">
        <f>SUM(AJ52:AJ54)</f>
      </c>
      <c r="AT51" s="2">
        <f>SUM(AK52:AK54)</f>
      </c>
      <c r="AU51" s="2">
        <f>SUM(AL52:AL54)</f>
      </c>
    </row>
    <row r="52">
      <c r="A52" s="9" t="s">
        <v>179</v>
      </c>
      <c r="B52" s="10" t="s">
        <v>180</v>
      </c>
      <c r="C52" s="14" t="s">
        <v>181</v>
      </c>
      <c r="D52" s="10"/>
      <c r="E52" s="10" t="s">
        <v>53</v>
      </c>
      <c r="F52" s="45" t="n">
        <v>12.8</v>
      </c>
      <c r="G52" s="45" t="n">
        <v>0</v>
      </c>
      <c r="H52" s="45">
        <f>ROUND(F52*AO52,2)</f>
      </c>
      <c r="I52" s="45">
        <f>ROUND(F52*AP52,2)</f>
      </c>
      <c r="J52" s="45">
        <f>ROUND(F52*G52,2)</f>
      </c>
      <c r="K52" s="46" t="s">
        <v>54</v>
      </c>
      <c r="Z52" s="45">
        <f>ROUND(IF(AQ52="5",BJ52,0),2)</f>
      </c>
      <c r="AB52" s="45">
        <f>ROUND(IF(AQ52="1",BH52,0),2)</f>
      </c>
      <c r="AC52" s="45">
        <f>ROUND(IF(AQ52="1",BI52,0),2)</f>
      </c>
      <c r="AD52" s="45">
        <f>ROUND(IF(AQ52="7",BH52,0),2)</f>
      </c>
      <c r="AE52" s="45">
        <f>ROUND(IF(AQ52="7",BI52,0),2)</f>
      </c>
      <c r="AF52" s="45">
        <f>ROUND(IF(AQ52="2",BH52,0),2)</f>
      </c>
      <c r="AG52" s="45">
        <f>ROUND(IF(AQ52="2",BI52,0),2)</f>
      </c>
      <c r="AH52" s="45">
        <f>ROUND(IF(AQ52="0",BJ52,0),2)</f>
      </c>
      <c r="AI52" s="28" t="s">
        <v>47</v>
      </c>
      <c r="AJ52" s="45">
        <f>IF(AN52=0,J52,0)</f>
      </c>
      <c r="AK52" s="45">
        <f>IF(AN52=15,J52,0)</f>
      </c>
      <c r="AL52" s="45">
        <f>IF(AN52=21,J52,0)</f>
      </c>
      <c r="AN52" s="45" t="n">
        <v>15</v>
      </c>
      <c r="AO52" s="45">
        <f>G52*0.060908545</f>
      </c>
      <c r="AP52" s="45">
        <f>G52*(1-0.060908545)</f>
      </c>
      <c r="AQ52" s="47" t="s">
        <v>50</v>
      </c>
      <c r="AV52" s="45">
        <f>ROUND(AW52+AX52,2)</f>
      </c>
      <c r="AW52" s="45">
        <f>ROUND(F52*AO52,2)</f>
      </c>
      <c r="AX52" s="45">
        <f>ROUND(F52*AP52,2)</f>
      </c>
      <c r="AY52" s="47" t="s">
        <v>182</v>
      </c>
      <c r="AZ52" s="47" t="s">
        <v>170</v>
      </c>
      <c r="BA52" s="28" t="s">
        <v>57</v>
      </c>
      <c r="BC52" s="45">
        <f>AW52+AX52</f>
      </c>
      <c r="BD52" s="45">
        <f>G52/(100-BE52)*100</f>
      </c>
      <c r="BE52" s="45" t="n">
        <v>0</v>
      </c>
      <c r="BF52" s="45">
        <f>52</f>
      </c>
      <c r="BH52" s="45">
        <f>F52*AO52</f>
      </c>
      <c r="BI52" s="45">
        <f>F52*AP52</f>
      </c>
      <c r="BJ52" s="45">
        <f>F52*G52</f>
      </c>
      <c r="BK52" s="47" t="s">
        <v>58</v>
      </c>
      <c r="BL52" s="45" t="n">
        <v>96</v>
      </c>
      <c r="BW52" s="45" t="n">
        <v>15</v>
      </c>
      <c r="BX52" s="14" t="s">
        <v>181</v>
      </c>
    </row>
    <row r="53">
      <c r="A53" s="9" t="s">
        <v>183</v>
      </c>
      <c r="B53" s="10" t="s">
        <v>184</v>
      </c>
      <c r="C53" s="14" t="s">
        <v>185</v>
      </c>
      <c r="D53" s="10"/>
      <c r="E53" s="10" t="s">
        <v>53</v>
      </c>
      <c r="F53" s="45" t="n">
        <v>138.3</v>
      </c>
      <c r="G53" s="45" t="n">
        <v>0</v>
      </c>
      <c r="H53" s="45">
        <f>ROUND(F53*AO53,2)</f>
      </c>
      <c r="I53" s="45">
        <f>ROUND(F53*AP53,2)</f>
      </c>
      <c r="J53" s="45">
        <f>ROUND(F53*G53,2)</f>
      </c>
      <c r="K53" s="46" t="s">
        <v>54</v>
      </c>
      <c r="Z53" s="45">
        <f>ROUND(IF(AQ53="5",BJ53,0),2)</f>
      </c>
      <c r="AB53" s="45">
        <f>ROUND(IF(AQ53="1",BH53,0),2)</f>
      </c>
      <c r="AC53" s="45">
        <f>ROUND(IF(AQ53="1",BI53,0),2)</f>
      </c>
      <c r="AD53" s="45">
        <f>ROUND(IF(AQ53="7",BH53,0),2)</f>
      </c>
      <c r="AE53" s="45">
        <f>ROUND(IF(AQ53="7",BI53,0),2)</f>
      </c>
      <c r="AF53" s="45">
        <f>ROUND(IF(AQ53="2",BH53,0),2)</f>
      </c>
      <c r="AG53" s="45">
        <f>ROUND(IF(AQ53="2",BI53,0),2)</f>
      </c>
      <c r="AH53" s="45">
        <f>ROUND(IF(AQ53="0",BJ53,0),2)</f>
      </c>
      <c r="AI53" s="28" t="s">
        <v>47</v>
      </c>
      <c r="AJ53" s="45">
        <f>IF(AN53=0,J53,0)</f>
      </c>
      <c r="AK53" s="45">
        <f>IF(AN53=15,J53,0)</f>
      </c>
      <c r="AL53" s="45">
        <f>IF(AN53=21,J53,0)</f>
      </c>
      <c r="AN53" s="45" t="n">
        <v>15</v>
      </c>
      <c r="AO53" s="45">
        <f>G53*0</f>
      </c>
      <c r="AP53" s="45">
        <f>G53*(1-0)</f>
      </c>
      <c r="AQ53" s="47" t="s">
        <v>50</v>
      </c>
      <c r="AV53" s="45">
        <f>ROUND(AW53+AX53,2)</f>
      </c>
      <c r="AW53" s="45">
        <f>ROUND(F53*AO53,2)</f>
      </c>
      <c r="AX53" s="45">
        <f>ROUND(F53*AP53,2)</f>
      </c>
      <c r="AY53" s="47" t="s">
        <v>182</v>
      </c>
      <c r="AZ53" s="47" t="s">
        <v>170</v>
      </c>
      <c r="BA53" s="28" t="s">
        <v>57</v>
      </c>
      <c r="BC53" s="45">
        <f>AW53+AX53</f>
      </c>
      <c r="BD53" s="45">
        <f>G53/(100-BE53)*100</f>
      </c>
      <c r="BE53" s="45" t="n">
        <v>0</v>
      </c>
      <c r="BF53" s="45">
        <f>53</f>
      </c>
      <c r="BH53" s="45">
        <f>F53*AO53</f>
      </c>
      <c r="BI53" s="45">
        <f>F53*AP53</f>
      </c>
      <c r="BJ53" s="45">
        <f>F53*G53</f>
      </c>
      <c r="BK53" s="47" t="s">
        <v>58</v>
      </c>
      <c r="BL53" s="45" t="n">
        <v>96</v>
      </c>
      <c r="BW53" s="45" t="n">
        <v>15</v>
      </c>
      <c r="BX53" s="14" t="s">
        <v>185</v>
      </c>
    </row>
    <row r="54">
      <c r="A54" s="9" t="s">
        <v>186</v>
      </c>
      <c r="B54" s="10" t="s">
        <v>187</v>
      </c>
      <c r="C54" s="14" t="s">
        <v>188</v>
      </c>
      <c r="D54" s="10"/>
      <c r="E54" s="10" t="s">
        <v>106</v>
      </c>
      <c r="F54" s="45" t="n">
        <v>12.3</v>
      </c>
      <c r="G54" s="45" t="n">
        <v>0</v>
      </c>
      <c r="H54" s="45">
        <f>ROUND(F54*AO54,2)</f>
      </c>
      <c r="I54" s="45">
        <f>ROUND(F54*AP54,2)</f>
      </c>
      <c r="J54" s="45">
        <f>ROUND(F54*G54,2)</f>
      </c>
      <c r="K54" s="46" t="s">
        <v>54</v>
      </c>
      <c r="Z54" s="45">
        <f>ROUND(IF(AQ54="5",BJ54,0),2)</f>
      </c>
      <c r="AB54" s="45">
        <f>ROUND(IF(AQ54="1",BH54,0),2)</f>
      </c>
      <c r="AC54" s="45">
        <f>ROUND(IF(AQ54="1",BI54,0),2)</f>
      </c>
      <c r="AD54" s="45">
        <f>ROUND(IF(AQ54="7",BH54,0),2)</f>
      </c>
      <c r="AE54" s="45">
        <f>ROUND(IF(AQ54="7",BI54,0),2)</f>
      </c>
      <c r="AF54" s="45">
        <f>ROUND(IF(AQ54="2",BH54,0),2)</f>
      </c>
      <c r="AG54" s="45">
        <f>ROUND(IF(AQ54="2",BI54,0),2)</f>
      </c>
      <c r="AH54" s="45">
        <f>ROUND(IF(AQ54="0",BJ54,0),2)</f>
      </c>
      <c r="AI54" s="28" t="s">
        <v>47</v>
      </c>
      <c r="AJ54" s="45">
        <f>IF(AN54=0,J54,0)</f>
      </c>
      <c r="AK54" s="45">
        <f>IF(AN54=15,J54,0)</f>
      </c>
      <c r="AL54" s="45">
        <f>IF(AN54=21,J54,0)</f>
      </c>
      <c r="AN54" s="45" t="n">
        <v>15</v>
      </c>
      <c r="AO54" s="45">
        <f>G54*0</f>
      </c>
      <c r="AP54" s="45">
        <f>G54*(1-0)</f>
      </c>
      <c r="AQ54" s="47" t="s">
        <v>50</v>
      </c>
      <c r="AV54" s="45">
        <f>ROUND(AW54+AX54,2)</f>
      </c>
      <c r="AW54" s="45">
        <f>ROUND(F54*AO54,2)</f>
      </c>
      <c r="AX54" s="45">
        <f>ROUND(F54*AP54,2)</f>
      </c>
      <c r="AY54" s="47" t="s">
        <v>182</v>
      </c>
      <c r="AZ54" s="47" t="s">
        <v>170</v>
      </c>
      <c r="BA54" s="28" t="s">
        <v>57</v>
      </c>
      <c r="BC54" s="45">
        <f>AW54+AX54</f>
      </c>
      <c r="BD54" s="45">
        <f>G54/(100-BE54)*100</f>
      </c>
      <c r="BE54" s="45" t="n">
        <v>0</v>
      </c>
      <c r="BF54" s="45">
        <f>54</f>
      </c>
      <c r="BH54" s="45">
        <f>F54*AO54</f>
      </c>
      <c r="BI54" s="45">
        <f>F54*AP54</f>
      </c>
      <c r="BJ54" s="45">
        <f>F54*G54</f>
      </c>
      <c r="BK54" s="47" t="s">
        <v>58</v>
      </c>
      <c r="BL54" s="45" t="n">
        <v>96</v>
      </c>
      <c r="BW54" s="45" t="n">
        <v>15</v>
      </c>
      <c r="BX54" s="14" t="s">
        <v>188</v>
      </c>
    </row>
    <row r="55">
      <c r="A55" s="48" t="s">
        <v>47</v>
      </c>
      <c r="B55" s="49" t="s">
        <v>189</v>
      </c>
      <c r="C55" s="50" t="s">
        <v>190</v>
      </c>
      <c r="D55" s="49"/>
      <c r="E55" s="51" t="s">
        <v>4</v>
      </c>
      <c r="F55" s="51" t="s">
        <v>4</v>
      </c>
      <c r="G55" s="51" t="s">
        <v>4</v>
      </c>
      <c r="H55" s="2">
        <f>SUM(H56:H61)</f>
      </c>
      <c r="I55" s="2">
        <f>SUM(I56:I61)</f>
      </c>
      <c r="J55" s="2">
        <f>SUM(J56:J61)</f>
      </c>
      <c r="K55" s="52" t="s">
        <v>47</v>
      </c>
      <c r="AI55" s="28" t="s">
        <v>47</v>
      </c>
      <c r="AS55" s="2">
        <f>SUM(AJ56:AJ61)</f>
      </c>
      <c r="AT55" s="2">
        <f>SUM(AK56:AK61)</f>
      </c>
      <c r="AU55" s="2">
        <f>SUM(AL56:AL61)</f>
      </c>
    </row>
    <row r="56">
      <c r="A56" s="9" t="s">
        <v>191</v>
      </c>
      <c r="B56" s="10" t="s">
        <v>192</v>
      </c>
      <c r="C56" s="14" t="s">
        <v>193</v>
      </c>
      <c r="D56" s="10"/>
      <c r="E56" s="10" t="s">
        <v>75</v>
      </c>
      <c r="F56" s="45" t="n">
        <v>10.99</v>
      </c>
      <c r="G56" s="45" t="n">
        <v>0</v>
      </c>
      <c r="H56" s="45">
        <f>ROUND(F56*AO56,2)</f>
      </c>
      <c r="I56" s="45">
        <f>ROUND(F56*AP56,2)</f>
      </c>
      <c r="J56" s="45">
        <f>ROUND(F56*G56,2)</f>
      </c>
      <c r="K56" s="46" t="s">
        <v>54</v>
      </c>
      <c r="Z56" s="45">
        <f>ROUND(IF(AQ56="5",BJ56,0),2)</f>
      </c>
      <c r="AB56" s="45">
        <f>ROUND(IF(AQ56="1",BH56,0),2)</f>
      </c>
      <c r="AC56" s="45">
        <f>ROUND(IF(AQ56="1",BI56,0),2)</f>
      </c>
      <c r="AD56" s="45">
        <f>ROUND(IF(AQ56="7",BH56,0),2)</f>
      </c>
      <c r="AE56" s="45">
        <f>ROUND(IF(AQ56="7",BI56,0),2)</f>
      </c>
      <c r="AF56" s="45">
        <f>ROUND(IF(AQ56="2",BH56,0),2)</f>
      </c>
      <c r="AG56" s="45">
        <f>ROUND(IF(AQ56="2",BI56,0),2)</f>
      </c>
      <c r="AH56" s="45">
        <f>ROUND(IF(AQ56="0",BJ56,0),2)</f>
      </c>
      <c r="AI56" s="28" t="s">
        <v>47</v>
      </c>
      <c r="AJ56" s="45">
        <f>IF(AN56=0,J56,0)</f>
      </c>
      <c r="AK56" s="45">
        <f>IF(AN56=15,J56,0)</f>
      </c>
      <c r="AL56" s="45">
        <f>IF(AN56=21,J56,0)</f>
      </c>
      <c r="AN56" s="45" t="n">
        <v>15</v>
      </c>
      <c r="AO56" s="45">
        <f>G56*0</f>
      </c>
      <c r="AP56" s="45">
        <f>G56*(1-0)</f>
      </c>
      <c r="AQ56" s="47" t="s">
        <v>72</v>
      </c>
      <c r="AV56" s="45">
        <f>ROUND(AW56+AX56,2)</f>
      </c>
      <c r="AW56" s="45">
        <f>ROUND(F56*AO56,2)</f>
      </c>
      <c r="AX56" s="45">
        <f>ROUND(F56*AP56,2)</f>
      </c>
      <c r="AY56" s="47" t="s">
        <v>194</v>
      </c>
      <c r="AZ56" s="47" t="s">
        <v>170</v>
      </c>
      <c r="BA56" s="28" t="s">
        <v>57</v>
      </c>
      <c r="BC56" s="45">
        <f>AW56+AX56</f>
      </c>
      <c r="BD56" s="45">
        <f>G56/(100-BE56)*100</f>
      </c>
      <c r="BE56" s="45" t="n">
        <v>0</v>
      </c>
      <c r="BF56" s="45">
        <f>56</f>
      </c>
      <c r="BH56" s="45">
        <f>F56*AO56</f>
      </c>
      <c r="BI56" s="45">
        <f>F56*AP56</f>
      </c>
      <c r="BJ56" s="45">
        <f>F56*G56</f>
      </c>
      <c r="BK56" s="47" t="s">
        <v>58</v>
      </c>
      <c r="BL56" s="45"/>
      <c r="BW56" s="45" t="n">
        <v>15</v>
      </c>
      <c r="BX56" s="14" t="s">
        <v>193</v>
      </c>
    </row>
    <row r="57">
      <c r="A57" s="9" t="s">
        <v>195</v>
      </c>
      <c r="B57" s="10" t="s">
        <v>196</v>
      </c>
      <c r="C57" s="14" t="s">
        <v>197</v>
      </c>
      <c r="D57" s="10"/>
      <c r="E57" s="10" t="s">
        <v>75</v>
      </c>
      <c r="F57" s="45" t="n">
        <v>10.99</v>
      </c>
      <c r="G57" s="45" t="n">
        <v>0</v>
      </c>
      <c r="H57" s="45">
        <f>ROUND(F57*AO57,2)</f>
      </c>
      <c r="I57" s="45">
        <f>ROUND(F57*AP57,2)</f>
      </c>
      <c r="J57" s="45">
        <f>ROUND(F57*G57,2)</f>
      </c>
      <c r="K57" s="46" t="s">
        <v>54</v>
      </c>
      <c r="Z57" s="45">
        <f>ROUND(IF(AQ57="5",BJ57,0),2)</f>
      </c>
      <c r="AB57" s="45">
        <f>ROUND(IF(AQ57="1",BH57,0),2)</f>
      </c>
      <c r="AC57" s="45">
        <f>ROUND(IF(AQ57="1",BI57,0),2)</f>
      </c>
      <c r="AD57" s="45">
        <f>ROUND(IF(AQ57="7",BH57,0),2)</f>
      </c>
      <c r="AE57" s="45">
        <f>ROUND(IF(AQ57="7",BI57,0),2)</f>
      </c>
      <c r="AF57" s="45">
        <f>ROUND(IF(AQ57="2",BH57,0),2)</f>
      </c>
      <c r="AG57" s="45">
        <f>ROUND(IF(AQ57="2",BI57,0),2)</f>
      </c>
      <c r="AH57" s="45">
        <f>ROUND(IF(AQ57="0",BJ57,0),2)</f>
      </c>
      <c r="AI57" s="28" t="s">
        <v>47</v>
      </c>
      <c r="AJ57" s="45">
        <f>IF(AN57=0,J57,0)</f>
      </c>
      <c r="AK57" s="45">
        <f>IF(AN57=15,J57,0)</f>
      </c>
      <c r="AL57" s="45">
        <f>IF(AN57=21,J57,0)</f>
      </c>
      <c r="AN57" s="45" t="n">
        <v>15</v>
      </c>
      <c r="AO57" s="45">
        <f>G57*0</f>
      </c>
      <c r="AP57" s="45">
        <f>G57*(1-0)</f>
      </c>
      <c r="AQ57" s="47" t="s">
        <v>72</v>
      </c>
      <c r="AV57" s="45">
        <f>ROUND(AW57+AX57,2)</f>
      </c>
      <c r="AW57" s="45">
        <f>ROUND(F57*AO57,2)</f>
      </c>
      <c r="AX57" s="45">
        <f>ROUND(F57*AP57,2)</f>
      </c>
      <c r="AY57" s="47" t="s">
        <v>194</v>
      </c>
      <c r="AZ57" s="47" t="s">
        <v>170</v>
      </c>
      <c r="BA57" s="28" t="s">
        <v>57</v>
      </c>
      <c r="BC57" s="45">
        <f>AW57+AX57</f>
      </c>
      <c r="BD57" s="45">
        <f>G57/(100-BE57)*100</f>
      </c>
      <c r="BE57" s="45" t="n">
        <v>0</v>
      </c>
      <c r="BF57" s="45">
        <f>57</f>
      </c>
      <c r="BH57" s="45">
        <f>F57*AO57</f>
      </c>
      <c r="BI57" s="45">
        <f>F57*AP57</f>
      </c>
      <c r="BJ57" s="45">
        <f>F57*G57</f>
      </c>
      <c r="BK57" s="47" t="s">
        <v>58</v>
      </c>
      <c r="BL57" s="45"/>
      <c r="BW57" s="45" t="n">
        <v>15</v>
      </c>
      <c r="BX57" s="14" t="s">
        <v>197</v>
      </c>
    </row>
    <row r="58">
      <c r="A58" s="9" t="s">
        <v>198</v>
      </c>
      <c r="B58" s="10" t="s">
        <v>199</v>
      </c>
      <c r="C58" s="14" t="s">
        <v>200</v>
      </c>
      <c r="D58" s="10"/>
      <c r="E58" s="10" t="s">
        <v>75</v>
      </c>
      <c r="F58" s="45" t="n">
        <v>10.99</v>
      </c>
      <c r="G58" s="45" t="n">
        <v>0</v>
      </c>
      <c r="H58" s="45">
        <f>ROUND(F58*AO58,2)</f>
      </c>
      <c r="I58" s="45">
        <f>ROUND(F58*AP58,2)</f>
      </c>
      <c r="J58" s="45">
        <f>ROUND(F58*G58,2)</f>
      </c>
      <c r="K58" s="46" t="s">
        <v>54</v>
      </c>
      <c r="Z58" s="45">
        <f>ROUND(IF(AQ58="5",BJ58,0),2)</f>
      </c>
      <c r="AB58" s="45">
        <f>ROUND(IF(AQ58="1",BH58,0),2)</f>
      </c>
      <c r="AC58" s="45">
        <f>ROUND(IF(AQ58="1",BI58,0),2)</f>
      </c>
      <c r="AD58" s="45">
        <f>ROUND(IF(AQ58="7",BH58,0),2)</f>
      </c>
      <c r="AE58" s="45">
        <f>ROUND(IF(AQ58="7",BI58,0),2)</f>
      </c>
      <c r="AF58" s="45">
        <f>ROUND(IF(AQ58="2",BH58,0),2)</f>
      </c>
      <c r="AG58" s="45">
        <f>ROUND(IF(AQ58="2",BI58,0),2)</f>
      </c>
      <c r="AH58" s="45">
        <f>ROUND(IF(AQ58="0",BJ58,0),2)</f>
      </c>
      <c r="AI58" s="28" t="s">
        <v>47</v>
      </c>
      <c r="AJ58" s="45">
        <f>IF(AN58=0,J58,0)</f>
      </c>
      <c r="AK58" s="45">
        <f>IF(AN58=15,J58,0)</f>
      </c>
      <c r="AL58" s="45">
        <f>IF(AN58=21,J58,0)</f>
      </c>
      <c r="AN58" s="45" t="n">
        <v>15</v>
      </c>
      <c r="AO58" s="45">
        <f>G58*0</f>
      </c>
      <c r="AP58" s="45">
        <f>G58*(1-0)</f>
      </c>
      <c r="AQ58" s="47" t="s">
        <v>72</v>
      </c>
      <c r="AV58" s="45">
        <f>ROUND(AW58+AX58,2)</f>
      </c>
      <c r="AW58" s="45">
        <f>ROUND(F58*AO58,2)</f>
      </c>
      <c r="AX58" s="45">
        <f>ROUND(F58*AP58,2)</f>
      </c>
      <c r="AY58" s="47" t="s">
        <v>194</v>
      </c>
      <c r="AZ58" s="47" t="s">
        <v>170</v>
      </c>
      <c r="BA58" s="28" t="s">
        <v>57</v>
      </c>
      <c r="BC58" s="45">
        <f>AW58+AX58</f>
      </c>
      <c r="BD58" s="45">
        <f>G58/(100-BE58)*100</f>
      </c>
      <c r="BE58" s="45" t="n">
        <v>0</v>
      </c>
      <c r="BF58" s="45">
        <f>58</f>
      </c>
      <c r="BH58" s="45">
        <f>F58*AO58</f>
      </c>
      <c r="BI58" s="45">
        <f>F58*AP58</f>
      </c>
      <c r="BJ58" s="45">
        <f>F58*G58</f>
      </c>
      <c r="BK58" s="47" t="s">
        <v>58</v>
      </c>
      <c r="BL58" s="45"/>
      <c r="BW58" s="45" t="n">
        <v>15</v>
      </c>
      <c r="BX58" s="14" t="s">
        <v>200</v>
      </c>
    </row>
    <row r="59">
      <c r="A59" s="9" t="s">
        <v>201</v>
      </c>
      <c r="B59" s="10" t="s">
        <v>202</v>
      </c>
      <c r="C59" s="14" t="s">
        <v>203</v>
      </c>
      <c r="D59" s="10"/>
      <c r="E59" s="10" t="s">
        <v>75</v>
      </c>
      <c r="F59" s="45" t="n">
        <v>10.99</v>
      </c>
      <c r="G59" s="45" t="n">
        <v>0</v>
      </c>
      <c r="H59" s="45">
        <f>ROUND(F59*AO59,2)</f>
      </c>
      <c r="I59" s="45">
        <f>ROUND(F59*AP59,2)</f>
      </c>
      <c r="J59" s="45">
        <f>ROUND(F59*G59,2)</f>
      </c>
      <c r="K59" s="46" t="s">
        <v>54</v>
      </c>
      <c r="Z59" s="45">
        <f>ROUND(IF(AQ59="5",BJ59,0),2)</f>
      </c>
      <c r="AB59" s="45">
        <f>ROUND(IF(AQ59="1",BH59,0),2)</f>
      </c>
      <c r="AC59" s="45">
        <f>ROUND(IF(AQ59="1",BI59,0),2)</f>
      </c>
      <c r="AD59" s="45">
        <f>ROUND(IF(AQ59="7",BH59,0),2)</f>
      </c>
      <c r="AE59" s="45">
        <f>ROUND(IF(AQ59="7",BI59,0),2)</f>
      </c>
      <c r="AF59" s="45">
        <f>ROUND(IF(AQ59="2",BH59,0),2)</f>
      </c>
      <c r="AG59" s="45">
        <f>ROUND(IF(AQ59="2",BI59,0),2)</f>
      </c>
      <c r="AH59" s="45">
        <f>ROUND(IF(AQ59="0",BJ59,0),2)</f>
      </c>
      <c r="AI59" s="28" t="s">
        <v>47</v>
      </c>
      <c r="AJ59" s="45">
        <f>IF(AN59=0,J59,0)</f>
      </c>
      <c r="AK59" s="45">
        <f>IF(AN59=15,J59,0)</f>
      </c>
      <c r="AL59" s="45">
        <f>IF(AN59=21,J59,0)</f>
      </c>
      <c r="AN59" s="45" t="n">
        <v>15</v>
      </c>
      <c r="AO59" s="45">
        <f>G59*0</f>
      </c>
      <c r="AP59" s="45">
        <f>G59*(1-0)</f>
      </c>
      <c r="AQ59" s="47" t="s">
        <v>72</v>
      </c>
      <c r="AV59" s="45">
        <f>ROUND(AW59+AX59,2)</f>
      </c>
      <c r="AW59" s="45">
        <f>ROUND(F59*AO59,2)</f>
      </c>
      <c r="AX59" s="45">
        <f>ROUND(F59*AP59,2)</f>
      </c>
      <c r="AY59" s="47" t="s">
        <v>194</v>
      </c>
      <c r="AZ59" s="47" t="s">
        <v>170</v>
      </c>
      <c r="BA59" s="28" t="s">
        <v>57</v>
      </c>
      <c r="BC59" s="45">
        <f>AW59+AX59</f>
      </c>
      <c r="BD59" s="45">
        <f>G59/(100-BE59)*100</f>
      </c>
      <c r="BE59" s="45" t="n">
        <v>0</v>
      </c>
      <c r="BF59" s="45">
        <f>59</f>
      </c>
      <c r="BH59" s="45">
        <f>F59*AO59</f>
      </c>
      <c r="BI59" s="45">
        <f>F59*AP59</f>
      </c>
      <c r="BJ59" s="45">
        <f>F59*G59</f>
      </c>
      <c r="BK59" s="47" t="s">
        <v>58</v>
      </c>
      <c r="BL59" s="45"/>
      <c r="BW59" s="45" t="n">
        <v>15</v>
      </c>
      <c r="BX59" s="14" t="s">
        <v>203</v>
      </c>
    </row>
    <row r="60">
      <c r="A60" s="9" t="s">
        <v>204</v>
      </c>
      <c r="B60" s="10" t="s">
        <v>205</v>
      </c>
      <c r="C60" s="14" t="s">
        <v>206</v>
      </c>
      <c r="D60" s="10"/>
      <c r="E60" s="10" t="s">
        <v>75</v>
      </c>
      <c r="F60" s="45" t="n">
        <v>10.99</v>
      </c>
      <c r="G60" s="45" t="n">
        <v>0</v>
      </c>
      <c r="H60" s="45">
        <f>ROUND(F60*AO60,2)</f>
      </c>
      <c r="I60" s="45">
        <f>ROUND(F60*AP60,2)</f>
      </c>
      <c r="J60" s="45">
        <f>ROUND(F60*G60,2)</f>
      </c>
      <c r="K60" s="46" t="s">
        <v>54</v>
      </c>
      <c r="Z60" s="45">
        <f>ROUND(IF(AQ60="5",BJ60,0),2)</f>
      </c>
      <c r="AB60" s="45">
        <f>ROUND(IF(AQ60="1",BH60,0),2)</f>
      </c>
      <c r="AC60" s="45">
        <f>ROUND(IF(AQ60="1",BI60,0),2)</f>
      </c>
      <c r="AD60" s="45">
        <f>ROUND(IF(AQ60="7",BH60,0),2)</f>
      </c>
      <c r="AE60" s="45">
        <f>ROUND(IF(AQ60="7",BI60,0),2)</f>
      </c>
      <c r="AF60" s="45">
        <f>ROUND(IF(AQ60="2",BH60,0),2)</f>
      </c>
      <c r="AG60" s="45">
        <f>ROUND(IF(AQ60="2",BI60,0),2)</f>
      </c>
      <c r="AH60" s="45">
        <f>ROUND(IF(AQ60="0",BJ60,0),2)</f>
      </c>
      <c r="AI60" s="28" t="s">
        <v>47</v>
      </c>
      <c r="AJ60" s="45">
        <f>IF(AN60=0,J60,0)</f>
      </c>
      <c r="AK60" s="45">
        <f>IF(AN60=15,J60,0)</f>
      </c>
      <c r="AL60" s="45">
        <f>IF(AN60=21,J60,0)</f>
      </c>
      <c r="AN60" s="45" t="n">
        <v>15</v>
      </c>
      <c r="AO60" s="45">
        <f>G60*0</f>
      </c>
      <c r="AP60" s="45">
        <f>G60*(1-0)</f>
      </c>
      <c r="AQ60" s="47" t="s">
        <v>72</v>
      </c>
      <c r="AV60" s="45">
        <f>ROUND(AW60+AX60,2)</f>
      </c>
      <c r="AW60" s="45">
        <f>ROUND(F60*AO60,2)</f>
      </c>
      <c r="AX60" s="45">
        <f>ROUND(F60*AP60,2)</f>
      </c>
      <c r="AY60" s="47" t="s">
        <v>194</v>
      </c>
      <c r="AZ60" s="47" t="s">
        <v>170</v>
      </c>
      <c r="BA60" s="28" t="s">
        <v>57</v>
      </c>
      <c r="BC60" s="45">
        <f>AW60+AX60</f>
      </c>
      <c r="BD60" s="45">
        <f>G60/(100-BE60)*100</f>
      </c>
      <c r="BE60" s="45" t="n">
        <v>0</v>
      </c>
      <c r="BF60" s="45">
        <f>60</f>
      </c>
      <c r="BH60" s="45">
        <f>F60*AO60</f>
      </c>
      <c r="BI60" s="45">
        <f>F60*AP60</f>
      </c>
      <c r="BJ60" s="45">
        <f>F60*G60</f>
      </c>
      <c r="BK60" s="47" t="s">
        <v>58</v>
      </c>
      <c r="BL60" s="45"/>
      <c r="BW60" s="45" t="n">
        <v>15</v>
      </c>
      <c r="BX60" s="14" t="s">
        <v>206</v>
      </c>
    </row>
    <row r="61">
      <c r="A61" s="9" t="s">
        <v>207</v>
      </c>
      <c r="B61" s="10" t="s">
        <v>208</v>
      </c>
      <c r="C61" s="14" t="s">
        <v>209</v>
      </c>
      <c r="D61" s="10"/>
      <c r="E61" s="10" t="s">
        <v>75</v>
      </c>
      <c r="F61" s="45" t="n">
        <v>10.99</v>
      </c>
      <c r="G61" s="45" t="n">
        <v>0</v>
      </c>
      <c r="H61" s="45">
        <f>ROUND(F61*AO61,2)</f>
      </c>
      <c r="I61" s="45">
        <f>ROUND(F61*AP61,2)</f>
      </c>
      <c r="J61" s="45">
        <f>ROUND(F61*G61,2)</f>
      </c>
      <c r="K61" s="46" t="s">
        <v>54</v>
      </c>
      <c r="Z61" s="45">
        <f>ROUND(IF(AQ61="5",BJ61,0),2)</f>
      </c>
      <c r="AB61" s="45">
        <f>ROUND(IF(AQ61="1",BH61,0),2)</f>
      </c>
      <c r="AC61" s="45">
        <f>ROUND(IF(AQ61="1",BI61,0),2)</f>
      </c>
      <c r="AD61" s="45">
        <f>ROUND(IF(AQ61="7",BH61,0),2)</f>
      </c>
      <c r="AE61" s="45">
        <f>ROUND(IF(AQ61="7",BI61,0),2)</f>
      </c>
      <c r="AF61" s="45">
        <f>ROUND(IF(AQ61="2",BH61,0),2)</f>
      </c>
      <c r="AG61" s="45">
        <f>ROUND(IF(AQ61="2",BI61,0),2)</f>
      </c>
      <c r="AH61" s="45">
        <f>ROUND(IF(AQ61="0",BJ61,0),2)</f>
      </c>
      <c r="AI61" s="28" t="s">
        <v>47</v>
      </c>
      <c r="AJ61" s="45">
        <f>IF(AN61=0,J61,0)</f>
      </c>
      <c r="AK61" s="45">
        <f>IF(AN61=15,J61,0)</f>
      </c>
      <c r="AL61" s="45">
        <f>IF(AN61=21,J61,0)</f>
      </c>
      <c r="AN61" s="45" t="n">
        <v>15</v>
      </c>
      <c r="AO61" s="45">
        <f>G61*0</f>
      </c>
      <c r="AP61" s="45">
        <f>G61*(1-0)</f>
      </c>
      <c r="AQ61" s="47" t="s">
        <v>72</v>
      </c>
      <c r="AV61" s="45">
        <f>ROUND(AW61+AX61,2)</f>
      </c>
      <c r="AW61" s="45">
        <f>ROUND(F61*AO61,2)</f>
      </c>
      <c r="AX61" s="45">
        <f>ROUND(F61*AP61,2)</f>
      </c>
      <c r="AY61" s="47" t="s">
        <v>194</v>
      </c>
      <c r="AZ61" s="47" t="s">
        <v>170</v>
      </c>
      <c r="BA61" s="28" t="s">
        <v>57</v>
      </c>
      <c r="BC61" s="45">
        <f>AW61+AX61</f>
      </c>
      <c r="BD61" s="45">
        <f>G61/(100-BE61)*100</f>
      </c>
      <c r="BE61" s="45" t="n">
        <v>0</v>
      </c>
      <c r="BF61" s="45">
        <f>61</f>
      </c>
      <c r="BH61" s="45">
        <f>F61*AO61</f>
      </c>
      <c r="BI61" s="45">
        <f>F61*AP61</f>
      </c>
      <c r="BJ61" s="45">
        <f>F61*G61</f>
      </c>
      <c r="BK61" s="47" t="s">
        <v>58</v>
      </c>
      <c r="BL61" s="45"/>
      <c r="BW61" s="45" t="n">
        <v>15</v>
      </c>
      <c r="BX61" s="14" t="s">
        <v>209</v>
      </c>
    </row>
    <row r="62">
      <c r="A62" s="48" t="s">
        <v>47</v>
      </c>
      <c r="B62" s="49" t="s">
        <v>210</v>
      </c>
      <c r="C62" s="50" t="s">
        <v>211</v>
      </c>
      <c r="D62" s="49"/>
      <c r="E62" s="51" t="s">
        <v>4</v>
      </c>
      <c r="F62" s="51" t="s">
        <v>4</v>
      </c>
      <c r="G62" s="51" t="s">
        <v>4</v>
      </c>
      <c r="H62" s="2">
        <f>SUM(H63:H69)</f>
      </c>
      <c r="I62" s="2">
        <f>SUM(I63:I69)</f>
      </c>
      <c r="J62" s="2">
        <f>SUM(J63:J69)</f>
      </c>
      <c r="K62" s="52" t="s">
        <v>47</v>
      </c>
      <c r="AI62" s="28" t="s">
        <v>47</v>
      </c>
      <c r="AS62" s="2">
        <f>SUM(AJ63:AJ69)</f>
      </c>
      <c r="AT62" s="2">
        <f>SUM(AK63:AK69)</f>
      </c>
      <c r="AU62" s="2">
        <f>SUM(AL63:AL69)</f>
      </c>
    </row>
    <row r="63">
      <c r="A63" s="9" t="s">
        <v>212</v>
      </c>
      <c r="B63" s="10" t="s">
        <v>213</v>
      </c>
      <c r="C63" s="14" t="s">
        <v>214</v>
      </c>
      <c r="D63" s="10"/>
      <c r="E63" s="10" t="s">
        <v>99</v>
      </c>
      <c r="F63" s="45" t="n">
        <v>577.66</v>
      </c>
      <c r="G63" s="45" t="n">
        <v>0</v>
      </c>
      <c r="H63" s="45">
        <f>ROUND(F63*AO63,2)</f>
      </c>
      <c r="I63" s="45">
        <f>ROUND(F63*AP63,2)</f>
      </c>
      <c r="J63" s="45">
        <f>ROUND(F63*G63,2)</f>
      </c>
      <c r="K63" s="46" t="s">
        <v>54</v>
      </c>
      <c r="Z63" s="45">
        <f>ROUND(IF(AQ63="5",BJ63,0),2)</f>
      </c>
      <c r="AB63" s="45">
        <f>ROUND(IF(AQ63="1",BH63,0),2)</f>
      </c>
      <c r="AC63" s="45">
        <f>ROUND(IF(AQ63="1",BI63,0),2)</f>
      </c>
      <c r="AD63" s="45">
        <f>ROUND(IF(AQ63="7",BH63,0),2)</f>
      </c>
      <c r="AE63" s="45">
        <f>ROUND(IF(AQ63="7",BI63,0),2)</f>
      </c>
      <c r="AF63" s="45">
        <f>ROUND(IF(AQ63="2",BH63,0),2)</f>
      </c>
      <c r="AG63" s="45">
        <f>ROUND(IF(AQ63="2",BI63,0),2)</f>
      </c>
      <c r="AH63" s="45">
        <f>ROUND(IF(AQ63="0",BJ63,0),2)</f>
      </c>
      <c r="AI63" s="28" t="s">
        <v>47</v>
      </c>
      <c r="AJ63" s="45">
        <f>IF(AN63=0,J63,0)</f>
      </c>
      <c r="AK63" s="45">
        <f>IF(AN63=15,J63,0)</f>
      </c>
      <c r="AL63" s="45">
        <f>IF(AN63=21,J63,0)</f>
      </c>
      <c r="AN63" s="45" t="n">
        <v>15</v>
      </c>
      <c r="AO63" s="45">
        <f>G63*1</f>
      </c>
      <c r="AP63" s="45">
        <f>G63*(1-1)</f>
      </c>
      <c r="AQ63" s="47" t="s">
        <v>215</v>
      </c>
      <c r="AV63" s="45">
        <f>ROUND(AW63+AX63,2)</f>
      </c>
      <c r="AW63" s="45">
        <f>ROUND(F63*AO63,2)</f>
      </c>
      <c r="AX63" s="45">
        <f>ROUND(F63*AP63,2)</f>
      </c>
      <c r="AY63" s="47" t="s">
        <v>216</v>
      </c>
      <c r="AZ63" s="47" t="s">
        <v>217</v>
      </c>
      <c r="BA63" s="28" t="s">
        <v>57</v>
      </c>
      <c r="BC63" s="45">
        <f>AW63+AX63</f>
      </c>
      <c r="BD63" s="45">
        <f>G63/(100-BE63)*100</f>
      </c>
      <c r="BE63" s="45" t="n">
        <v>0</v>
      </c>
      <c r="BF63" s="45">
        <f>63</f>
      </c>
      <c r="BH63" s="45">
        <f>F63*AO63</f>
      </c>
      <c r="BI63" s="45">
        <f>F63*AP63</f>
      </c>
      <c r="BJ63" s="45">
        <f>F63*G63</f>
      </c>
      <c r="BK63" s="47" t="s">
        <v>210</v>
      </c>
      <c r="BL63" s="45"/>
      <c r="BW63" s="45" t="n">
        <v>15</v>
      </c>
      <c r="BX63" s="14" t="s">
        <v>214</v>
      </c>
    </row>
    <row r="64">
      <c r="A64" s="9" t="s">
        <v>218</v>
      </c>
      <c r="B64" s="10" t="s">
        <v>219</v>
      </c>
      <c r="C64" s="14" t="s">
        <v>220</v>
      </c>
      <c r="D64" s="10"/>
      <c r="E64" s="10" t="s">
        <v>53</v>
      </c>
      <c r="F64" s="45" t="n">
        <v>181.17</v>
      </c>
      <c r="G64" s="45" t="n">
        <v>0</v>
      </c>
      <c r="H64" s="45">
        <f>ROUND(F64*AO64,2)</f>
      </c>
      <c r="I64" s="45">
        <f>ROUND(F64*AP64,2)</f>
      </c>
      <c r="J64" s="45">
        <f>ROUND(F64*G64,2)</f>
      </c>
      <c r="K64" s="46" t="s">
        <v>54</v>
      </c>
      <c r="Z64" s="45">
        <f>ROUND(IF(AQ64="5",BJ64,0),2)</f>
      </c>
      <c r="AB64" s="45">
        <f>ROUND(IF(AQ64="1",BH64,0),2)</f>
      </c>
      <c r="AC64" s="45">
        <f>ROUND(IF(AQ64="1",BI64,0),2)</f>
      </c>
      <c r="AD64" s="45">
        <f>ROUND(IF(AQ64="7",BH64,0),2)</f>
      </c>
      <c r="AE64" s="45">
        <f>ROUND(IF(AQ64="7",BI64,0),2)</f>
      </c>
      <c r="AF64" s="45">
        <f>ROUND(IF(AQ64="2",BH64,0),2)</f>
      </c>
      <c r="AG64" s="45">
        <f>ROUND(IF(AQ64="2",BI64,0),2)</f>
      </c>
      <c r="AH64" s="45">
        <f>ROUND(IF(AQ64="0",BJ64,0),2)</f>
      </c>
      <c r="AI64" s="28" t="s">
        <v>47</v>
      </c>
      <c r="AJ64" s="45">
        <f>IF(AN64=0,J64,0)</f>
      </c>
      <c r="AK64" s="45">
        <f>IF(AN64=15,J64,0)</f>
      </c>
      <c r="AL64" s="45">
        <f>IF(AN64=21,J64,0)</f>
      </c>
      <c r="AN64" s="45" t="n">
        <v>15</v>
      </c>
      <c r="AO64" s="45">
        <f>G64*1</f>
      </c>
      <c r="AP64" s="45">
        <f>G64*(1-1)</f>
      </c>
      <c r="AQ64" s="47" t="s">
        <v>215</v>
      </c>
      <c r="AV64" s="45">
        <f>ROUND(AW64+AX64,2)</f>
      </c>
      <c r="AW64" s="45">
        <f>ROUND(F64*AO64,2)</f>
      </c>
      <c r="AX64" s="45">
        <f>ROUND(F64*AP64,2)</f>
      </c>
      <c r="AY64" s="47" t="s">
        <v>216</v>
      </c>
      <c r="AZ64" s="47" t="s">
        <v>217</v>
      </c>
      <c r="BA64" s="28" t="s">
        <v>57</v>
      </c>
      <c r="BC64" s="45">
        <f>AW64+AX64</f>
      </c>
      <c r="BD64" s="45">
        <f>G64/(100-BE64)*100</f>
      </c>
      <c r="BE64" s="45" t="n">
        <v>0</v>
      </c>
      <c r="BF64" s="45">
        <f>64</f>
      </c>
      <c r="BH64" s="45">
        <f>F64*AO64</f>
      </c>
      <c r="BI64" s="45">
        <f>F64*AP64</f>
      </c>
      <c r="BJ64" s="45">
        <f>F64*G64</f>
      </c>
      <c r="BK64" s="47" t="s">
        <v>210</v>
      </c>
      <c r="BL64" s="45"/>
      <c r="BW64" s="45" t="n">
        <v>15</v>
      </c>
      <c r="BX64" s="14" t="s">
        <v>220</v>
      </c>
    </row>
    <row r="65">
      <c r="A65" s="9" t="s">
        <v>221</v>
      </c>
      <c r="B65" s="10" t="s">
        <v>73</v>
      </c>
      <c r="C65" s="14" t="s">
        <v>74</v>
      </c>
      <c r="D65" s="10"/>
      <c r="E65" s="10" t="s">
        <v>75</v>
      </c>
      <c r="F65" s="45" t="n">
        <v>3.3036</v>
      </c>
      <c r="G65" s="45" t="n">
        <v>0</v>
      </c>
      <c r="H65" s="45">
        <f>ROUND(F65*AO65,2)</f>
      </c>
      <c r="I65" s="45">
        <f>ROUND(F65*AP65,2)</f>
      </c>
      <c r="J65" s="45">
        <f>ROUND(F65*G65,2)</f>
      </c>
      <c r="K65" s="46" t="s">
        <v>54</v>
      </c>
      <c r="Z65" s="45">
        <f>ROUND(IF(AQ65="5",BJ65,0),2)</f>
      </c>
      <c r="AB65" s="45">
        <f>ROUND(IF(AQ65="1",BH65,0),2)</f>
      </c>
      <c r="AC65" s="45">
        <f>ROUND(IF(AQ65="1",BI65,0),2)</f>
      </c>
      <c r="AD65" s="45">
        <f>ROUND(IF(AQ65="7",BH65,0),2)</f>
      </c>
      <c r="AE65" s="45">
        <f>ROUND(IF(AQ65="7",BI65,0),2)</f>
      </c>
      <c r="AF65" s="45">
        <f>ROUND(IF(AQ65="2",BH65,0),2)</f>
      </c>
      <c r="AG65" s="45">
        <f>ROUND(IF(AQ65="2",BI65,0),2)</f>
      </c>
      <c r="AH65" s="45">
        <f>ROUND(IF(AQ65="0",BJ65,0),2)</f>
      </c>
      <c r="AI65" s="28" t="s">
        <v>47</v>
      </c>
      <c r="AJ65" s="45">
        <f>IF(AN65=0,J65,0)</f>
      </c>
      <c r="AK65" s="45">
        <f>IF(AN65=15,J65,0)</f>
      </c>
      <c r="AL65" s="45">
        <f>IF(AN65=21,J65,0)</f>
      </c>
      <c r="AN65" s="45" t="n">
        <v>15</v>
      </c>
      <c r="AO65" s="45">
        <f>G65*0</f>
      </c>
      <c r="AP65" s="45">
        <f>G65*(1-0)</f>
      </c>
      <c r="AQ65" s="47" t="s">
        <v>72</v>
      </c>
      <c r="AV65" s="45">
        <f>ROUND(AW65+AX65,2)</f>
      </c>
      <c r="AW65" s="45">
        <f>ROUND(F65*AO65,2)</f>
      </c>
      <c r="AX65" s="45">
        <f>ROUND(F65*AP65,2)</f>
      </c>
      <c r="AY65" s="47" t="s">
        <v>216</v>
      </c>
      <c r="AZ65" s="47" t="s">
        <v>217</v>
      </c>
      <c r="BA65" s="28" t="s">
        <v>57</v>
      </c>
      <c r="BC65" s="45">
        <f>AW65+AX65</f>
      </c>
      <c r="BD65" s="45">
        <f>G65/(100-BE65)*100</f>
      </c>
      <c r="BE65" s="45" t="n">
        <v>0</v>
      </c>
      <c r="BF65" s="45">
        <f>65</f>
      </c>
      <c r="BH65" s="45">
        <f>F65*AO65</f>
      </c>
      <c r="BI65" s="45">
        <f>F65*AP65</f>
      </c>
      <c r="BJ65" s="45">
        <f>F65*G65</f>
      </c>
      <c r="BK65" s="47" t="s">
        <v>58</v>
      </c>
      <c r="BL65" s="45"/>
      <c r="BW65" s="45" t="n">
        <v>15</v>
      </c>
      <c r="BX65" s="14" t="s">
        <v>74</v>
      </c>
    </row>
    <row r="66">
      <c r="A66" s="9" t="s">
        <v>222</v>
      </c>
      <c r="B66" s="10" t="s">
        <v>223</v>
      </c>
      <c r="C66" s="14" t="s">
        <v>224</v>
      </c>
      <c r="D66" s="10"/>
      <c r="E66" s="10" t="s">
        <v>225</v>
      </c>
      <c r="F66" s="45" t="n">
        <v>263.52</v>
      </c>
      <c r="G66" s="45" t="n">
        <v>0</v>
      </c>
      <c r="H66" s="45">
        <f>ROUND(F66*AO66,2)</f>
      </c>
      <c r="I66" s="45">
        <f>ROUND(F66*AP66,2)</f>
      </c>
      <c r="J66" s="45">
        <f>ROUND(F66*G66,2)</f>
      </c>
      <c r="K66" s="46" t="s">
        <v>54</v>
      </c>
      <c r="Z66" s="45">
        <f>ROUND(IF(AQ66="5",BJ66,0),2)</f>
      </c>
      <c r="AB66" s="45">
        <f>ROUND(IF(AQ66="1",BH66,0),2)</f>
      </c>
      <c r="AC66" s="45">
        <f>ROUND(IF(AQ66="1",BI66,0),2)</f>
      </c>
      <c r="AD66" s="45">
        <f>ROUND(IF(AQ66="7",BH66,0),2)</f>
      </c>
      <c r="AE66" s="45">
        <f>ROUND(IF(AQ66="7",BI66,0),2)</f>
      </c>
      <c r="AF66" s="45">
        <f>ROUND(IF(AQ66="2",BH66,0),2)</f>
      </c>
      <c r="AG66" s="45">
        <f>ROUND(IF(AQ66="2",BI66,0),2)</f>
      </c>
      <c r="AH66" s="45">
        <f>ROUND(IF(AQ66="0",BJ66,0),2)</f>
      </c>
      <c r="AI66" s="28" t="s">
        <v>47</v>
      </c>
      <c r="AJ66" s="45">
        <f>IF(AN66=0,J66,0)</f>
      </c>
      <c r="AK66" s="45">
        <f>IF(AN66=15,J66,0)</f>
      </c>
      <c r="AL66" s="45">
        <f>IF(AN66=21,J66,0)</f>
      </c>
      <c r="AN66" s="45" t="n">
        <v>15</v>
      </c>
      <c r="AO66" s="45">
        <f>G66*1</f>
      </c>
      <c r="AP66" s="45">
        <f>G66*(1-1)</f>
      </c>
      <c r="AQ66" s="47" t="s">
        <v>215</v>
      </c>
      <c r="AV66" s="45">
        <f>ROUND(AW66+AX66,2)</f>
      </c>
      <c r="AW66" s="45">
        <f>ROUND(F66*AO66,2)</f>
      </c>
      <c r="AX66" s="45">
        <f>ROUND(F66*AP66,2)</f>
      </c>
      <c r="AY66" s="47" t="s">
        <v>216</v>
      </c>
      <c r="AZ66" s="47" t="s">
        <v>217</v>
      </c>
      <c r="BA66" s="28" t="s">
        <v>57</v>
      </c>
      <c r="BC66" s="45">
        <f>AW66+AX66</f>
      </c>
      <c r="BD66" s="45">
        <f>G66/(100-BE66)*100</f>
      </c>
      <c r="BE66" s="45" t="n">
        <v>0</v>
      </c>
      <c r="BF66" s="45">
        <f>66</f>
      </c>
      <c r="BH66" s="45">
        <f>F66*AO66</f>
      </c>
      <c r="BI66" s="45">
        <f>F66*AP66</f>
      </c>
      <c r="BJ66" s="45">
        <f>F66*G66</f>
      </c>
      <c r="BK66" s="47" t="s">
        <v>210</v>
      </c>
      <c r="BL66" s="45"/>
      <c r="BW66" s="45" t="n">
        <v>15</v>
      </c>
      <c r="BX66" s="14" t="s">
        <v>224</v>
      </c>
    </row>
    <row r="67">
      <c r="A67" s="9" t="s">
        <v>226</v>
      </c>
      <c r="B67" s="10" t="s">
        <v>227</v>
      </c>
      <c r="C67" s="14" t="s">
        <v>228</v>
      </c>
      <c r="D67" s="10"/>
      <c r="E67" s="10" t="s">
        <v>99</v>
      </c>
      <c r="F67" s="45" t="n">
        <v>8</v>
      </c>
      <c r="G67" s="45" t="n">
        <v>0</v>
      </c>
      <c r="H67" s="45">
        <f>ROUND(F67*AO67,2)</f>
      </c>
      <c r="I67" s="45">
        <f>ROUND(F67*AP67,2)</f>
      </c>
      <c r="J67" s="45">
        <f>ROUND(F67*G67,2)</f>
      </c>
      <c r="K67" s="46" t="s">
        <v>54</v>
      </c>
      <c r="Z67" s="45">
        <f>ROUND(IF(AQ67="5",BJ67,0),2)</f>
      </c>
      <c r="AB67" s="45">
        <f>ROUND(IF(AQ67="1",BH67,0),2)</f>
      </c>
      <c r="AC67" s="45">
        <f>ROUND(IF(AQ67="1",BI67,0),2)</f>
      </c>
      <c r="AD67" s="45">
        <f>ROUND(IF(AQ67="7",BH67,0),2)</f>
      </c>
      <c r="AE67" s="45">
        <f>ROUND(IF(AQ67="7",BI67,0),2)</f>
      </c>
      <c r="AF67" s="45">
        <f>ROUND(IF(AQ67="2",BH67,0),2)</f>
      </c>
      <c r="AG67" s="45">
        <f>ROUND(IF(AQ67="2",BI67,0),2)</f>
      </c>
      <c r="AH67" s="45">
        <f>ROUND(IF(AQ67="0",BJ67,0),2)</f>
      </c>
      <c r="AI67" s="28" t="s">
        <v>47</v>
      </c>
      <c r="AJ67" s="45">
        <f>IF(AN67=0,J67,0)</f>
      </c>
      <c r="AK67" s="45">
        <f>IF(AN67=15,J67,0)</f>
      </c>
      <c r="AL67" s="45">
        <f>IF(AN67=21,J67,0)</f>
      </c>
      <c r="AN67" s="45" t="n">
        <v>15</v>
      </c>
      <c r="AO67" s="45">
        <f>G67*1</f>
      </c>
      <c r="AP67" s="45">
        <f>G67*(1-1)</f>
      </c>
      <c r="AQ67" s="47" t="s">
        <v>215</v>
      </c>
      <c r="AV67" s="45">
        <f>ROUND(AW67+AX67,2)</f>
      </c>
      <c r="AW67" s="45">
        <f>ROUND(F67*AO67,2)</f>
      </c>
      <c r="AX67" s="45">
        <f>ROUND(F67*AP67,2)</f>
      </c>
      <c r="AY67" s="47" t="s">
        <v>216</v>
      </c>
      <c r="AZ67" s="47" t="s">
        <v>217</v>
      </c>
      <c r="BA67" s="28" t="s">
        <v>57</v>
      </c>
      <c r="BC67" s="45">
        <f>AW67+AX67</f>
      </c>
      <c r="BD67" s="45">
        <f>G67/(100-BE67)*100</f>
      </c>
      <c r="BE67" s="45" t="n">
        <v>0</v>
      </c>
      <c r="BF67" s="45">
        <f>67</f>
      </c>
      <c r="BH67" s="45">
        <f>F67*AO67</f>
      </c>
      <c r="BI67" s="45">
        <f>F67*AP67</f>
      </c>
      <c r="BJ67" s="45">
        <f>F67*G67</f>
      </c>
      <c r="BK67" s="47" t="s">
        <v>210</v>
      </c>
      <c r="BL67" s="45"/>
      <c r="BW67" s="45" t="n">
        <v>15</v>
      </c>
      <c r="BX67" s="14" t="s">
        <v>228</v>
      </c>
    </row>
    <row r="68">
      <c r="A68" s="9" t="s">
        <v>229</v>
      </c>
      <c r="B68" s="10" t="s">
        <v>230</v>
      </c>
      <c r="C68" s="14" t="s">
        <v>231</v>
      </c>
      <c r="D68" s="10"/>
      <c r="E68" s="10" t="s">
        <v>99</v>
      </c>
      <c r="F68" s="45" t="n">
        <v>8</v>
      </c>
      <c r="G68" s="45" t="n">
        <v>0</v>
      </c>
      <c r="H68" s="45">
        <f>ROUND(F68*AO68,2)</f>
      </c>
      <c r="I68" s="45">
        <f>ROUND(F68*AP68,2)</f>
      </c>
      <c r="J68" s="45">
        <f>ROUND(F68*G68,2)</f>
      </c>
      <c r="K68" s="46" t="s">
        <v>54</v>
      </c>
      <c r="Z68" s="45">
        <f>ROUND(IF(AQ68="5",BJ68,0),2)</f>
      </c>
      <c r="AB68" s="45">
        <f>ROUND(IF(AQ68="1",BH68,0),2)</f>
      </c>
      <c r="AC68" s="45">
        <f>ROUND(IF(AQ68="1",BI68,0),2)</f>
      </c>
      <c r="AD68" s="45">
        <f>ROUND(IF(AQ68="7",BH68,0),2)</f>
      </c>
      <c r="AE68" s="45">
        <f>ROUND(IF(AQ68="7",BI68,0),2)</f>
      </c>
      <c r="AF68" s="45">
        <f>ROUND(IF(AQ68="2",BH68,0),2)</f>
      </c>
      <c r="AG68" s="45">
        <f>ROUND(IF(AQ68="2",BI68,0),2)</f>
      </c>
      <c r="AH68" s="45">
        <f>ROUND(IF(AQ68="0",BJ68,0),2)</f>
      </c>
      <c r="AI68" s="28" t="s">
        <v>47</v>
      </c>
      <c r="AJ68" s="45">
        <f>IF(AN68=0,J68,0)</f>
      </c>
      <c r="AK68" s="45">
        <f>IF(AN68=15,J68,0)</f>
      </c>
      <c r="AL68" s="45">
        <f>IF(AN68=21,J68,0)</f>
      </c>
      <c r="AN68" s="45" t="n">
        <v>15</v>
      </c>
      <c r="AO68" s="45">
        <f>G68*1</f>
      </c>
      <c r="AP68" s="45">
        <f>G68*(1-1)</f>
      </c>
      <c r="AQ68" s="47" t="s">
        <v>215</v>
      </c>
      <c r="AV68" s="45">
        <f>ROUND(AW68+AX68,2)</f>
      </c>
      <c r="AW68" s="45">
        <f>ROUND(F68*AO68,2)</f>
      </c>
      <c r="AX68" s="45">
        <f>ROUND(F68*AP68,2)</f>
      </c>
      <c r="AY68" s="47" t="s">
        <v>216</v>
      </c>
      <c r="AZ68" s="47" t="s">
        <v>217</v>
      </c>
      <c r="BA68" s="28" t="s">
        <v>57</v>
      </c>
      <c r="BC68" s="45">
        <f>AW68+AX68</f>
      </c>
      <c r="BD68" s="45">
        <f>G68/(100-BE68)*100</f>
      </c>
      <c r="BE68" s="45" t="n">
        <v>0</v>
      </c>
      <c r="BF68" s="45">
        <f>68</f>
      </c>
      <c r="BH68" s="45">
        <f>F68*AO68</f>
      </c>
      <c r="BI68" s="45">
        <f>F68*AP68</f>
      </c>
      <c r="BJ68" s="45">
        <f>F68*G68</f>
      </c>
      <c r="BK68" s="47" t="s">
        <v>210</v>
      </c>
      <c r="BL68" s="45"/>
      <c r="BW68" s="45" t="n">
        <v>15</v>
      </c>
      <c r="BX68" s="14" t="s">
        <v>231</v>
      </c>
    </row>
    <row r="69">
      <c r="A69" s="9" t="s">
        <v>232</v>
      </c>
      <c r="B69" s="10" t="s">
        <v>233</v>
      </c>
      <c r="C69" s="14" t="s">
        <v>234</v>
      </c>
      <c r="D69" s="10"/>
      <c r="E69" s="10" t="s">
        <v>99</v>
      </c>
      <c r="F69" s="45" t="n">
        <v>8</v>
      </c>
      <c r="G69" s="45" t="n">
        <v>0</v>
      </c>
      <c r="H69" s="45">
        <f>ROUND(F69*AO69,2)</f>
      </c>
      <c r="I69" s="45">
        <f>ROUND(F69*AP69,2)</f>
      </c>
      <c r="J69" s="45">
        <f>ROUND(F69*G69,2)</f>
      </c>
      <c r="K69" s="46" t="s">
        <v>54</v>
      </c>
      <c r="Z69" s="45">
        <f>ROUND(IF(AQ69="5",BJ69,0),2)</f>
      </c>
      <c r="AB69" s="45">
        <f>ROUND(IF(AQ69="1",BH69,0),2)</f>
      </c>
      <c r="AC69" s="45">
        <f>ROUND(IF(AQ69="1",BI69,0),2)</f>
      </c>
      <c r="AD69" s="45">
        <f>ROUND(IF(AQ69="7",BH69,0),2)</f>
      </c>
      <c r="AE69" s="45">
        <f>ROUND(IF(AQ69="7",BI69,0),2)</f>
      </c>
      <c r="AF69" s="45">
        <f>ROUND(IF(AQ69="2",BH69,0),2)</f>
      </c>
      <c r="AG69" s="45">
        <f>ROUND(IF(AQ69="2",BI69,0),2)</f>
      </c>
      <c r="AH69" s="45">
        <f>ROUND(IF(AQ69="0",BJ69,0),2)</f>
      </c>
      <c r="AI69" s="28" t="s">
        <v>47</v>
      </c>
      <c r="AJ69" s="45">
        <f>IF(AN69=0,J69,0)</f>
      </c>
      <c r="AK69" s="45">
        <f>IF(AN69=15,J69,0)</f>
      </c>
      <c r="AL69" s="45">
        <f>IF(AN69=21,J69,0)</f>
      </c>
      <c r="AN69" s="45" t="n">
        <v>15</v>
      </c>
      <c r="AO69" s="45">
        <f>G69*1</f>
      </c>
      <c r="AP69" s="45">
        <f>G69*(1-1)</f>
      </c>
      <c r="AQ69" s="47" t="s">
        <v>215</v>
      </c>
      <c r="AV69" s="45">
        <f>ROUND(AW69+AX69,2)</f>
      </c>
      <c r="AW69" s="45">
        <f>ROUND(F69*AO69,2)</f>
      </c>
      <c r="AX69" s="45">
        <f>ROUND(F69*AP69,2)</f>
      </c>
      <c r="AY69" s="47" t="s">
        <v>216</v>
      </c>
      <c r="AZ69" s="47" t="s">
        <v>217</v>
      </c>
      <c r="BA69" s="28" t="s">
        <v>57</v>
      </c>
      <c r="BC69" s="45">
        <f>AW69+AX69</f>
      </c>
      <c r="BD69" s="45">
        <f>G69/(100-BE69)*100</f>
      </c>
      <c r="BE69" s="45" t="n">
        <v>0</v>
      </c>
      <c r="BF69" s="45">
        <f>69</f>
      </c>
      <c r="BH69" s="45">
        <f>F69*AO69</f>
      </c>
      <c r="BI69" s="45">
        <f>F69*AP69</f>
      </c>
      <c r="BJ69" s="45">
        <f>F69*G69</f>
      </c>
      <c r="BK69" s="47" t="s">
        <v>210</v>
      </c>
      <c r="BL69" s="45"/>
      <c r="BW69" s="45" t="n">
        <v>15</v>
      </c>
      <c r="BX69" s="14" t="s">
        <v>234</v>
      </c>
    </row>
    <row r="70">
      <c r="A70" s="48" t="s">
        <v>47</v>
      </c>
      <c r="B70" s="49" t="s">
        <v>235</v>
      </c>
      <c r="C70" s="50" t="s">
        <v>236</v>
      </c>
      <c r="D70" s="49"/>
      <c r="E70" s="51" t="s">
        <v>4</v>
      </c>
      <c r="F70" s="51" t="s">
        <v>4</v>
      </c>
      <c r="G70" s="51" t="s">
        <v>4</v>
      </c>
      <c r="H70" s="2">
        <f>H71</f>
      </c>
      <c r="I70" s="2">
        <f>I71</f>
      </c>
      <c r="J70" s="2">
        <f>J71</f>
      </c>
      <c r="K70" s="52" t="s">
        <v>47</v>
      </c>
      <c r="AI70" s="28" t="s">
        <v>47</v>
      </c>
    </row>
    <row r="71">
      <c r="A71" s="48" t="s">
        <v>47</v>
      </c>
      <c r="B71" s="49" t="s">
        <v>237</v>
      </c>
      <c r="C71" s="50" t="s">
        <v>238</v>
      </c>
      <c r="D71" s="49"/>
      <c r="E71" s="51" t="s">
        <v>4</v>
      </c>
      <c r="F71" s="51" t="s">
        <v>4</v>
      </c>
      <c r="G71" s="51" t="s">
        <v>4</v>
      </c>
      <c r="H71" s="2">
        <f>SUM(H72:H72)</f>
      </c>
      <c r="I71" s="2">
        <f>SUM(I72:I72)</f>
      </c>
      <c r="J71" s="2">
        <f>SUM(J72:J72)</f>
      </c>
      <c r="K71" s="52" t="s">
        <v>47</v>
      </c>
      <c r="AI71" s="28" t="s">
        <v>47</v>
      </c>
      <c r="AS71" s="2">
        <f>SUM(AJ72:AJ72)</f>
      </c>
      <c r="AT71" s="2">
        <f>SUM(AK72:AK72)</f>
      </c>
      <c r="AU71" s="2">
        <f>SUM(AL72:AL72)</f>
      </c>
    </row>
    <row r="72">
      <c r="A72" s="53" t="s">
        <v>239</v>
      </c>
      <c r="B72" s="54" t="s">
        <v>240</v>
      </c>
      <c r="C72" s="55" t="s">
        <v>241</v>
      </c>
      <c r="D72" s="54"/>
      <c r="E72" s="54" t="s">
        <v>242</v>
      </c>
      <c r="F72" s="56" t="n">
        <v>1</v>
      </c>
      <c r="G72" s="56" t="n">
        <v>0</v>
      </c>
      <c r="H72" s="56">
        <f>ROUND(F72*AO72,2)</f>
      </c>
      <c r="I72" s="56">
        <f>ROUND(F72*AP72,2)</f>
      </c>
      <c r="J72" s="56">
        <f>ROUND(F72*G72,2)</f>
      </c>
      <c r="K72" s="57" t="s">
        <v>243</v>
      </c>
      <c r="Z72" s="45">
        <f>ROUND(IF(AQ72="5",BJ72,0),2)</f>
      </c>
      <c r="AB72" s="45">
        <f>ROUND(IF(AQ72="1",BH72,0),2)</f>
      </c>
      <c r="AC72" s="45">
        <f>ROUND(IF(AQ72="1",BI72,0),2)</f>
      </c>
      <c r="AD72" s="45">
        <f>ROUND(IF(AQ72="7",BH72,0),2)</f>
      </c>
      <c r="AE72" s="45">
        <f>ROUND(IF(AQ72="7",BI72,0),2)</f>
      </c>
      <c r="AF72" s="45">
        <f>ROUND(IF(AQ72="2",BH72,0),2)</f>
      </c>
      <c r="AG72" s="45">
        <f>ROUND(IF(AQ72="2",BI72,0),2)</f>
      </c>
      <c r="AH72" s="45">
        <f>ROUND(IF(AQ72="0",BJ72,0),2)</f>
      </c>
      <c r="AI72" s="28" t="s">
        <v>47</v>
      </c>
      <c r="AJ72" s="45">
        <f>IF(AN72=0,J72,0)</f>
      </c>
      <c r="AK72" s="45">
        <f>IF(AN72=15,J72,0)</f>
      </c>
      <c r="AL72" s="45">
        <f>IF(AN72=21,J72,0)</f>
      </c>
      <c r="AN72" s="45" t="n">
        <v>15</v>
      </c>
      <c r="AO72" s="45">
        <f>G72*0</f>
      </c>
      <c r="AP72" s="45">
        <f>G72*(1-0)</f>
      </c>
      <c r="AQ72" s="47" t="s">
        <v>244</v>
      </c>
      <c r="AV72" s="45">
        <f>ROUND(AW72+AX72,2)</f>
      </c>
      <c r="AW72" s="45">
        <f>ROUND(F72*AO72,2)</f>
      </c>
      <c r="AX72" s="45">
        <f>ROUND(F72*AP72,2)</f>
      </c>
      <c r="AY72" s="47" t="s">
        <v>245</v>
      </c>
      <c r="AZ72" s="47" t="s">
        <v>246</v>
      </c>
      <c r="BA72" s="28" t="s">
        <v>57</v>
      </c>
      <c r="BC72" s="45">
        <f>AW72+AX72</f>
      </c>
      <c r="BD72" s="45">
        <f>G72/(100-BE72)*100</f>
      </c>
      <c r="BE72" s="45" t="n">
        <v>0</v>
      </c>
      <c r="BF72" s="45">
        <f>72</f>
      </c>
      <c r="BH72" s="45">
        <f>F72*AO72</f>
      </c>
      <c r="BI72" s="45">
        <f>F72*AP72</f>
      </c>
      <c r="BJ72" s="45">
        <f>F72*G72</f>
      </c>
      <c r="BK72" s="47" t="s">
        <v>58</v>
      </c>
      <c r="BL72" s="45"/>
      <c r="BP72" s="45">
        <f>F72*G72</f>
      </c>
      <c r="BW72" s="45" t="n">
        <v>15</v>
      </c>
      <c r="BX72" s="14" t="s">
        <v>241</v>
      </c>
    </row>
    <row r="73">
      <c r="H73" s="58" t="s">
        <v>247</v>
      </c>
      <c r="I73" s="58"/>
      <c r="J73" s="59">
        <f>ROUND(J12+J14+J19+J25+J27+J30+J33+J35+J42+J44+J47+J49+J51+J55+J62+J71,2)</f>
      </c>
    </row>
    <row r="74">
      <c r="A74" s="60" t="s">
        <v>248</v>
      </c>
    </row>
    <row r="75" customHeight="true" ht="12.75">
      <c r="A75" s="14" t="s">
        <v>47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</row>
  </sheetData>
  <mergeCells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C8:D9"/>
    <mergeCell ref="G2:G3"/>
    <mergeCell ref="G4:G5"/>
    <mergeCell ref="G6:G7"/>
    <mergeCell ref="G8:G9"/>
    <mergeCell ref="I2:K3"/>
    <mergeCell ref="I4:K5"/>
    <mergeCell ref="I6:K7"/>
    <mergeCell ref="I8:K9"/>
    <mergeCell ref="C10:D10"/>
    <mergeCell ref="C11:D11"/>
    <mergeCell ref="H10:J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H73:I73"/>
    <mergeCell ref="A75:K75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37"/>
  <sheetViews>
    <sheetView workbookViewId="0" showZeros="true" showFormulas="false" showGridLines="true" showRowColHeaders="true">
      <selection sqref="A37:I37" activeCell="A37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7.140625" customWidth="true"/>
    <col max="4" min="4" style="0" width="10" customWidth="true"/>
    <col max="5" min="5" style="0" width="14" customWidth="true"/>
    <col max="6" min="6" style="0" width="27.140625" customWidth="true"/>
    <col max="7" min="7" style="0" width="9.140625" customWidth="true"/>
    <col max="8" min="8" style="0" width="12.85546875" customWidth="true"/>
    <col max="9" min="9" style="0" width="27.140625" customWidth="true"/>
  </cols>
  <sheetData>
    <row r="1" customHeight="true" ht="54.75">
      <c r="A1" s="61" t="s">
        <v>249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5</v>
      </c>
      <c r="F2" s="7">
        <f>'Stavební rozpočet'!I2</f>
      </c>
      <c r="G2" s="4"/>
      <c r="H2" s="7" t="s">
        <v>250</v>
      </c>
      <c r="I2" s="8" t="s">
        <v>47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7</v>
      </c>
      <c r="B4" s="10"/>
      <c r="C4" s="14">
        <f>'Stavební rozpočet'!C4</f>
      </c>
      <c r="D4" s="10"/>
      <c r="E4" s="14" t="s">
        <v>10</v>
      </c>
      <c r="F4" s="14">
        <f>'Stavební rozpočet'!I4</f>
      </c>
      <c r="G4" s="10"/>
      <c r="H4" s="14" t="s">
        <v>250</v>
      </c>
      <c r="I4" s="12" t="s">
        <v>47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11</v>
      </c>
      <c r="B6" s="10"/>
      <c r="C6" s="14">
        <f>'Stavební rozpočet'!C6</f>
      </c>
      <c r="D6" s="10"/>
      <c r="E6" s="14" t="s">
        <v>14</v>
      </c>
      <c r="F6" s="14">
        <f>'Stavební rozpočet'!I6</f>
      </c>
      <c r="G6" s="10"/>
      <c r="H6" s="14" t="s">
        <v>250</v>
      </c>
      <c r="I6" s="12" t="s">
        <v>47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8</v>
      </c>
      <c r="B8" s="10"/>
      <c r="C8" s="14">
        <f>'Stavební rozpočet'!G4</f>
      </c>
      <c r="D8" s="10"/>
      <c r="E8" s="14" t="s">
        <v>13</v>
      </c>
      <c r="F8" s="14">
        <f>'Stavební rozpočet'!G6</f>
      </c>
      <c r="G8" s="10"/>
      <c r="H8" s="10" t="s">
        <v>251</v>
      </c>
      <c r="I8" s="62" t="n">
        <v>44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15</v>
      </c>
      <c r="B10" s="10"/>
      <c r="C10" s="14">
        <f>'Stavební rozpočet'!C8</f>
      </c>
      <c r="D10" s="10"/>
      <c r="E10" s="14" t="s">
        <v>17</v>
      </c>
      <c r="F10" s="14">
        <f>'Stavební rozpočet'!I8</f>
      </c>
      <c r="G10" s="10"/>
      <c r="H10" s="10" t="s">
        <v>252</v>
      </c>
      <c r="I10" s="63">
        <f>'Stavební rozpočet'!G8</f>
      </c>
    </row>
    <row r="11">
      <c r="A11" s="53"/>
      <c r="B11" s="54"/>
      <c r="C11" s="54"/>
      <c r="D11" s="54"/>
      <c r="E11" s="54"/>
      <c r="F11" s="54"/>
      <c r="G11" s="54"/>
      <c r="H11" s="54"/>
      <c r="I11" s="64"/>
    </row>
    <row r="12">
      <c r="A12" s="65" t="s">
        <v>253</v>
      </c>
      <c r="B12" s="65"/>
      <c r="C12" s="65"/>
      <c r="D12" s="65"/>
      <c r="E12" s="65"/>
      <c r="F12" s="65"/>
      <c r="G12" s="65"/>
      <c r="H12" s="65"/>
      <c r="I12" s="65"/>
    </row>
    <row r="13" customHeight="true" ht="26.25">
      <c r="A13" s="66" t="s">
        <v>254</v>
      </c>
      <c r="B13" s="67" t="s">
        <v>255</v>
      </c>
      <c r="C13" s="68"/>
      <c r="D13" s="69" t="s">
        <v>256</v>
      </c>
      <c r="E13" s="67" t="s">
        <v>257</v>
      </c>
      <c r="F13" s="68"/>
      <c r="G13" s="69" t="s">
        <v>258</v>
      </c>
      <c r="H13" s="67" t="s">
        <v>259</v>
      </c>
      <c r="I13" s="68"/>
    </row>
    <row r="14">
      <c r="A14" s="70" t="s">
        <v>260</v>
      </c>
      <c r="B14" s="71" t="s">
        <v>261</v>
      </c>
      <c r="C14" s="72">
        <f>SUM('Stavební rozpočet'!AB12:AB144)</f>
      </c>
      <c r="D14" s="73" t="s">
        <v>262</v>
      </c>
      <c r="E14" s="74"/>
      <c r="F14" s="72">
        <f>VORN!I15</f>
      </c>
      <c r="G14" s="73" t="s">
        <v>263</v>
      </c>
      <c r="H14" s="74"/>
      <c r="I14" s="75">
        <f>VORN!I21</f>
      </c>
    </row>
    <row r="15">
      <c r="A15" s="76" t="s">
        <v>47</v>
      </c>
      <c r="B15" s="71" t="s">
        <v>32</v>
      </c>
      <c r="C15" s="72">
        <f>SUM('Stavební rozpočet'!AC12:AC144)</f>
      </c>
      <c r="D15" s="73" t="s">
        <v>264</v>
      </c>
      <c r="E15" s="74"/>
      <c r="F15" s="72">
        <f>VORN!I16</f>
      </c>
      <c r="G15" s="73" t="s">
        <v>265</v>
      </c>
      <c r="H15" s="74"/>
      <c r="I15" s="75">
        <f>VORN!I22</f>
      </c>
    </row>
    <row r="16">
      <c r="A16" s="70" t="s">
        <v>266</v>
      </c>
      <c r="B16" s="71" t="s">
        <v>261</v>
      </c>
      <c r="C16" s="72">
        <f>SUM('Stavební rozpočet'!AD12:AD144)</f>
      </c>
      <c r="D16" s="73" t="s">
        <v>267</v>
      </c>
      <c r="E16" s="74"/>
      <c r="F16" s="72">
        <f>VORN!I17</f>
      </c>
      <c r="G16" s="73" t="s">
        <v>268</v>
      </c>
      <c r="H16" s="74"/>
      <c r="I16" s="75">
        <f>VORN!I23</f>
      </c>
    </row>
    <row r="17">
      <c r="A17" s="76" t="s">
        <v>47</v>
      </c>
      <c r="B17" s="71" t="s">
        <v>32</v>
      </c>
      <c r="C17" s="72">
        <f>SUM('Stavební rozpočet'!AE12:AE144)</f>
      </c>
      <c r="D17" s="73" t="s">
        <v>47</v>
      </c>
      <c r="E17" s="74"/>
      <c r="F17" s="75" t="s">
        <v>47</v>
      </c>
      <c r="G17" s="73" t="s">
        <v>269</v>
      </c>
      <c r="H17" s="74"/>
      <c r="I17" s="75">
        <f>VORN!I24</f>
      </c>
    </row>
    <row r="18">
      <c r="A18" s="70" t="s">
        <v>270</v>
      </c>
      <c r="B18" s="71" t="s">
        <v>261</v>
      </c>
      <c r="C18" s="72">
        <f>SUM('Stavební rozpočet'!AF12:AF144)</f>
      </c>
      <c r="D18" s="73" t="s">
        <v>47</v>
      </c>
      <c r="E18" s="74"/>
      <c r="F18" s="75" t="s">
        <v>47</v>
      </c>
      <c r="G18" s="73" t="s">
        <v>271</v>
      </c>
      <c r="H18" s="74"/>
      <c r="I18" s="75">
        <f>VORN!I25</f>
      </c>
    </row>
    <row r="19">
      <c r="A19" s="76" t="s">
        <v>47</v>
      </c>
      <c r="B19" s="71" t="s">
        <v>32</v>
      </c>
      <c r="C19" s="72">
        <f>SUM('Stavební rozpočet'!AG12:AG144)</f>
      </c>
      <c r="D19" s="73" t="s">
        <v>47</v>
      </c>
      <c r="E19" s="74"/>
      <c r="F19" s="75" t="s">
        <v>47</v>
      </c>
      <c r="G19" s="73" t="s">
        <v>272</v>
      </c>
      <c r="H19" s="74"/>
      <c r="I19" s="75">
        <f>VORN!I26</f>
      </c>
    </row>
    <row r="20">
      <c r="A20" s="77" t="s">
        <v>211</v>
      </c>
      <c r="B20" s="78"/>
      <c r="C20" s="72">
        <f>SUM('Stavební rozpočet'!AH12:AH144)</f>
      </c>
      <c r="D20" s="73" t="s">
        <v>47</v>
      </c>
      <c r="E20" s="74"/>
      <c r="F20" s="75" t="s">
        <v>47</v>
      </c>
      <c r="G20" s="73" t="s">
        <v>47</v>
      </c>
      <c r="H20" s="74"/>
      <c r="I20" s="75" t="s">
        <v>47</v>
      </c>
    </row>
    <row r="21">
      <c r="A21" s="79" t="s">
        <v>273</v>
      </c>
      <c r="B21" s="80"/>
      <c r="C21" s="81">
        <f>SUM('Stavební rozpočet'!Z12:Z144)</f>
      </c>
      <c r="D21" s="82" t="s">
        <v>47</v>
      </c>
      <c r="E21" s="83"/>
      <c r="F21" s="84" t="s">
        <v>47</v>
      </c>
      <c r="G21" s="82" t="s">
        <v>47</v>
      </c>
      <c r="H21" s="83"/>
      <c r="I21" s="84" t="s">
        <v>47</v>
      </c>
    </row>
    <row r="22" customHeight="true" ht="16.5">
      <c r="A22" s="85" t="s">
        <v>274</v>
      </c>
      <c r="B22" s="86"/>
      <c r="C22" s="87">
        <f>ROUND(SUM(C14:C21),2)</f>
      </c>
      <c r="D22" s="88" t="s">
        <v>275</v>
      </c>
      <c r="E22" s="86"/>
      <c r="F22" s="87">
        <f>SUM(F14:F21)</f>
      </c>
      <c r="G22" s="88" t="s">
        <v>276</v>
      </c>
      <c r="H22" s="86"/>
      <c r="I22" s="87">
        <f>SUM(I14:I21)</f>
      </c>
    </row>
    <row r="23">
      <c r="D23" s="77" t="s">
        <v>277</v>
      </c>
      <c r="E23" s="78"/>
      <c r="F23" s="89" t="n">
        <v>0</v>
      </c>
      <c r="G23" s="90" t="s">
        <v>278</v>
      </c>
      <c r="H23" s="78"/>
      <c r="I23" s="72" t="n">
        <v>0</v>
      </c>
    </row>
    <row r="24">
      <c r="G24" s="77" t="s">
        <v>279</v>
      </c>
      <c r="H24" s="78"/>
      <c r="I24" s="81">
        <f>vorn_sum</f>
      </c>
    </row>
    <row r="25">
      <c r="G25" s="77" t="s">
        <v>280</v>
      </c>
      <c r="H25" s="78"/>
      <c r="I25" s="87" t="n">
        <v>0</v>
      </c>
    </row>
    <row r="27">
      <c r="A27" s="91" t="s">
        <v>281</v>
      </c>
      <c r="B27" s="92"/>
      <c r="C27" s="93">
        <f>ROUND(SUM('Stavební rozpočet'!AJ12:AJ144),2)</f>
      </c>
    </row>
    <row r="28">
      <c r="A28" s="94" t="s">
        <v>282</v>
      </c>
      <c r="B28" s="95"/>
      <c r="C28" s="96">
        <f>ROUND(SUM('Stavební rozpočet'!AK12:AK144),2)</f>
      </c>
      <c r="D28" s="97" t="s">
        <v>283</v>
      </c>
      <c r="E28" s="92"/>
      <c r="F28" s="93">
        <f>ROUND(C28*(15/100),2)</f>
      </c>
      <c r="G28" s="97" t="s">
        <v>284</v>
      </c>
      <c r="H28" s="92"/>
      <c r="I28" s="93">
        <f>ROUND(SUM(C27:C29),2)</f>
      </c>
    </row>
    <row r="29">
      <c r="A29" s="94" t="s">
        <v>285</v>
      </c>
      <c r="B29" s="95"/>
      <c r="C29" s="96">
        <f>ROUND(SUM('Stavební rozpočet'!AL12:AL144),2)</f>
      </c>
      <c r="D29" s="98" t="s">
        <v>286</v>
      </c>
      <c r="E29" s="95"/>
      <c r="F29" s="96">
        <f>ROUND(C29*(21/100),2)</f>
      </c>
      <c r="G29" s="98" t="s">
        <v>287</v>
      </c>
      <c r="H29" s="95"/>
      <c r="I29" s="96">
        <f>ROUND(SUM(F28:F29)+I28,2)</f>
      </c>
    </row>
    <row r="31">
      <c r="A31" s="99" t="s">
        <v>288</v>
      </c>
      <c r="B31" s="100"/>
      <c r="C31" s="101"/>
      <c r="D31" s="102" t="s">
        <v>289</v>
      </c>
      <c r="E31" s="100"/>
      <c r="F31" s="101"/>
      <c r="G31" s="102" t="s">
        <v>290</v>
      </c>
      <c r="H31" s="100"/>
      <c r="I31" s="101"/>
    </row>
    <row r="32">
      <c r="A32" s="103" t="s">
        <v>47</v>
      </c>
      <c r="B32" s="104"/>
      <c r="C32" s="105"/>
      <c r="D32" s="106" t="s">
        <v>47</v>
      </c>
      <c r="E32" s="104"/>
      <c r="F32" s="105"/>
      <c r="G32" s="106" t="s">
        <v>47</v>
      </c>
      <c r="H32" s="104"/>
      <c r="I32" s="105"/>
    </row>
    <row r="33">
      <c r="A33" s="103" t="s">
        <v>47</v>
      </c>
      <c r="B33" s="104"/>
      <c r="C33" s="105"/>
      <c r="D33" s="106" t="s">
        <v>47</v>
      </c>
      <c r="E33" s="104"/>
      <c r="F33" s="105"/>
      <c r="G33" s="106" t="s">
        <v>47</v>
      </c>
      <c r="H33" s="104"/>
      <c r="I33" s="105"/>
    </row>
    <row r="34">
      <c r="A34" s="103" t="s">
        <v>47</v>
      </c>
      <c r="B34" s="104"/>
      <c r="C34" s="105"/>
      <c r="D34" s="106" t="s">
        <v>47</v>
      </c>
      <c r="E34" s="104"/>
      <c r="F34" s="105"/>
      <c r="G34" s="106" t="s">
        <v>47</v>
      </c>
      <c r="H34" s="104"/>
      <c r="I34" s="105"/>
    </row>
    <row r="35">
      <c r="A35" s="107" t="s">
        <v>291</v>
      </c>
      <c r="B35" s="108"/>
      <c r="C35" s="109"/>
      <c r="D35" s="110" t="s">
        <v>291</v>
      </c>
      <c r="E35" s="108"/>
      <c r="F35" s="109"/>
      <c r="G35" s="110" t="s">
        <v>291</v>
      </c>
      <c r="H35" s="108"/>
      <c r="I35" s="109"/>
    </row>
    <row r="36">
      <c r="A36" s="111" t="s">
        <v>248</v>
      </c>
    </row>
    <row r="37" customHeight="true" ht="12.75">
      <c r="A37" s="14" t="s">
        <v>47</v>
      </c>
      <c r="B37" s="10"/>
      <c r="C37" s="10"/>
      <c r="D37" s="10"/>
      <c r="E37" s="10"/>
      <c r="F37" s="10"/>
      <c r="G37" s="10"/>
      <c r="H37" s="10"/>
      <c r="I37" s="10"/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I2:I3"/>
    <mergeCell ref="I4:I5"/>
    <mergeCell ref="I6:I7"/>
    <mergeCell ref="I8:I9"/>
    <mergeCell ref="I10:I11"/>
    <mergeCell ref="A12:I12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  <mergeCell ref="A37:I37"/>
  </mergeCells>
  <pageMargins left="0.393999993801117" top="0.591000020503998" right="0.393999993801117" bottom="0.591000020503998" header="0" footer="0"/>
  <pageSetup orientation="landscape" fitToHeight="1" fitToWidth="1" cellComments="none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outlinePr summaryBelow="true" summaryRight="true"/>
    <pageSetUpPr fitToPage="true"/>
  </sheetPr>
  <dimension ref="A1:I45"/>
  <sheetViews>
    <sheetView workbookViewId="0" showZeros="true" showFormulas="false" showGridLines="true" showRowColHeaders="true">
      <selection sqref="A45:E45" activeCell="A45"/>
    </sheetView>
  </sheetViews>
  <sheetFormatPr defaultColWidth="12.140625" customHeight="true" defaultRowHeight="15"/>
  <cols>
    <col max="1" min="1" style="0" width="9.140625" customWidth="true"/>
    <col max="2" min="2" style="0" width="12.85546875" customWidth="true"/>
    <col max="3" min="3" style="0" width="22.85546875" customWidth="true"/>
    <col max="4" min="4" style="0" width="10" customWidth="true"/>
    <col max="5" min="5" style="0" width="14" customWidth="true"/>
    <col max="6" min="6" style="0" width="22.85546875" customWidth="true"/>
    <col max="7" min="7" style="0" width="9.140625" customWidth="true"/>
    <col max="8" min="8" style="0" width="17.140625" customWidth="true"/>
    <col max="9" min="9" style="0" width="22.85546875" customWidth="true"/>
  </cols>
  <sheetData>
    <row r="1" customHeight="true" ht="54.75">
      <c r="A1" s="61" t="s">
        <v>236</v>
      </c>
      <c r="B1" s="1"/>
      <c r="C1" s="1"/>
      <c r="D1" s="1"/>
      <c r="E1" s="1"/>
      <c r="F1" s="1"/>
      <c r="G1" s="1"/>
      <c r="H1" s="1"/>
      <c r="I1" s="1"/>
    </row>
    <row r="2">
      <c r="A2" s="3" t="s">
        <v>1</v>
      </c>
      <c r="B2" s="4"/>
      <c r="C2" s="5">
        <f>'Stavební rozpočet'!C2</f>
      </c>
      <c r="D2" s="6"/>
      <c r="E2" s="7" t="s">
        <v>5</v>
      </c>
      <c r="F2" s="7">
        <f>'Stavební rozpočet'!I2</f>
      </c>
      <c r="G2" s="4"/>
      <c r="H2" s="7" t="s">
        <v>250</v>
      </c>
      <c r="I2" s="8" t="s">
        <v>47</v>
      </c>
    </row>
    <row r="3" customHeight="true" ht="15">
      <c r="A3" s="9"/>
      <c r="B3" s="10"/>
      <c r="C3" s="11"/>
      <c r="D3" s="11"/>
      <c r="E3" s="10"/>
      <c r="F3" s="10"/>
      <c r="G3" s="10"/>
      <c r="H3" s="10"/>
      <c r="I3" s="12"/>
    </row>
    <row r="4">
      <c r="A4" s="13" t="s">
        <v>7</v>
      </c>
      <c r="B4" s="10"/>
      <c r="C4" s="14">
        <f>'Stavební rozpočet'!C4</f>
      </c>
      <c r="D4" s="10"/>
      <c r="E4" s="14" t="s">
        <v>10</v>
      </c>
      <c r="F4" s="14">
        <f>'Stavební rozpočet'!I4</f>
      </c>
      <c r="G4" s="10"/>
      <c r="H4" s="14" t="s">
        <v>250</v>
      </c>
      <c r="I4" s="12" t="s">
        <v>47</v>
      </c>
    </row>
    <row r="5" customHeight="true" ht="15">
      <c r="A5" s="9"/>
      <c r="B5" s="10"/>
      <c r="C5" s="10"/>
      <c r="D5" s="10"/>
      <c r="E5" s="10"/>
      <c r="F5" s="10"/>
      <c r="G5" s="10"/>
      <c r="H5" s="10"/>
      <c r="I5" s="12"/>
    </row>
    <row r="6">
      <c r="A6" s="13" t="s">
        <v>11</v>
      </c>
      <c r="B6" s="10"/>
      <c r="C6" s="14">
        <f>'Stavební rozpočet'!C6</f>
      </c>
      <c r="D6" s="10"/>
      <c r="E6" s="14" t="s">
        <v>14</v>
      </c>
      <c r="F6" s="14">
        <f>'Stavební rozpočet'!I6</f>
      </c>
      <c r="G6" s="10"/>
      <c r="H6" s="14" t="s">
        <v>250</v>
      </c>
      <c r="I6" s="12" t="s">
        <v>47</v>
      </c>
    </row>
    <row r="7" customHeight="true" ht="15">
      <c r="A7" s="9"/>
      <c r="B7" s="10"/>
      <c r="C7" s="10"/>
      <c r="D7" s="10"/>
      <c r="E7" s="10"/>
      <c r="F7" s="10"/>
      <c r="G7" s="10"/>
      <c r="H7" s="10"/>
      <c r="I7" s="12"/>
    </row>
    <row r="8">
      <c r="A8" s="13" t="s">
        <v>8</v>
      </c>
      <c r="B8" s="10"/>
      <c r="C8" s="14">
        <f>'Stavební rozpočet'!G4</f>
      </c>
      <c r="D8" s="10"/>
      <c r="E8" s="14" t="s">
        <v>13</v>
      </c>
      <c r="F8" s="14">
        <f>'Stavební rozpočet'!G6</f>
      </c>
      <c r="G8" s="10"/>
      <c r="H8" s="10" t="s">
        <v>251</v>
      </c>
      <c r="I8" s="62" t="n">
        <v>44</v>
      </c>
    </row>
    <row r="9">
      <c r="A9" s="9"/>
      <c r="B9" s="10"/>
      <c r="C9" s="10"/>
      <c r="D9" s="10"/>
      <c r="E9" s="10"/>
      <c r="F9" s="10"/>
      <c r="G9" s="10"/>
      <c r="H9" s="10"/>
      <c r="I9" s="12"/>
    </row>
    <row r="10">
      <c r="A10" s="13" t="s">
        <v>15</v>
      </c>
      <c r="B10" s="10"/>
      <c r="C10" s="14">
        <f>'Stavební rozpočet'!C8</f>
      </c>
      <c r="D10" s="10"/>
      <c r="E10" s="14" t="s">
        <v>17</v>
      </c>
      <c r="F10" s="14">
        <f>'Stavební rozpočet'!I8</f>
      </c>
      <c r="G10" s="10"/>
      <c r="H10" s="10" t="s">
        <v>252</v>
      </c>
      <c r="I10" s="63">
        <f>'Stavební rozpočet'!G8</f>
      </c>
    </row>
    <row r="11">
      <c r="A11" s="53"/>
      <c r="B11" s="54"/>
      <c r="C11" s="54"/>
      <c r="D11" s="54"/>
      <c r="E11" s="54"/>
      <c r="F11" s="54"/>
      <c r="G11" s="54"/>
      <c r="H11" s="54"/>
      <c r="I11" s="64"/>
    </row>
    <row r="13">
      <c r="A13" s="112" t="s">
        <v>292</v>
      </c>
      <c r="B13" s="112"/>
      <c r="C13" s="112"/>
      <c r="D13" s="112"/>
      <c r="E13" s="112"/>
    </row>
    <row r="14">
      <c r="A14" s="113" t="s">
        <v>293</v>
      </c>
      <c r="B14" s="114"/>
      <c r="C14" s="114"/>
      <c r="D14" s="114"/>
      <c r="E14" s="115"/>
      <c r="F14" s="116" t="s">
        <v>294</v>
      </c>
      <c r="G14" s="116" t="s">
        <v>295</v>
      </c>
      <c r="H14" s="116" t="s">
        <v>296</v>
      </c>
      <c r="I14" s="116" t="s">
        <v>294</v>
      </c>
    </row>
    <row r="15">
      <c r="A15" s="117" t="s">
        <v>262</v>
      </c>
      <c r="B15" s="118"/>
      <c r="C15" s="118"/>
      <c r="D15" s="118"/>
      <c r="E15" s="119"/>
      <c r="F15" s="120" t="n">
        <v>0</v>
      </c>
      <c r="G15" s="121" t="s">
        <v>47</v>
      </c>
      <c r="H15" s="121" t="s">
        <v>47</v>
      </c>
      <c r="I15" s="120">
        <f>F15</f>
      </c>
    </row>
    <row r="16">
      <c r="A16" s="117" t="s">
        <v>264</v>
      </c>
      <c r="B16" s="118"/>
      <c r="C16" s="118"/>
      <c r="D16" s="118"/>
      <c r="E16" s="119"/>
      <c r="F16" s="120" t="n">
        <v>0</v>
      </c>
      <c r="G16" s="121" t="s">
        <v>47</v>
      </c>
      <c r="H16" s="121" t="s">
        <v>47</v>
      </c>
      <c r="I16" s="120">
        <f>F16</f>
      </c>
    </row>
    <row r="17">
      <c r="A17" s="122" t="s">
        <v>267</v>
      </c>
      <c r="B17" s="123"/>
      <c r="C17" s="123"/>
      <c r="D17" s="123"/>
      <c r="E17" s="124"/>
      <c r="F17" s="125" t="n">
        <v>0</v>
      </c>
      <c r="G17" s="126" t="s">
        <v>47</v>
      </c>
      <c r="H17" s="126" t="s">
        <v>47</v>
      </c>
      <c r="I17" s="125">
        <f>F17</f>
      </c>
    </row>
    <row r="18">
      <c r="A18" s="127" t="s">
        <v>297</v>
      </c>
      <c r="B18" s="128"/>
      <c r="C18" s="128"/>
      <c r="D18" s="128"/>
      <c r="E18" s="129"/>
      <c r="F18" s="130" t="s">
        <v>47</v>
      </c>
      <c r="G18" s="131" t="s">
        <v>47</v>
      </c>
      <c r="H18" s="131" t="s">
        <v>47</v>
      </c>
      <c r="I18" s="132">
        <f>SUM(I15:I17)</f>
      </c>
    </row>
    <row r="20">
      <c r="A20" s="113" t="s">
        <v>259</v>
      </c>
      <c r="B20" s="114"/>
      <c r="C20" s="114"/>
      <c r="D20" s="114"/>
      <c r="E20" s="115"/>
      <c r="F20" s="116" t="s">
        <v>294</v>
      </c>
      <c r="G20" s="116" t="s">
        <v>295</v>
      </c>
      <c r="H20" s="116" t="s">
        <v>296</v>
      </c>
      <c r="I20" s="116" t="s">
        <v>294</v>
      </c>
    </row>
    <row r="21">
      <c r="A21" s="117" t="s">
        <v>263</v>
      </c>
      <c r="B21" s="118"/>
      <c r="C21" s="118"/>
      <c r="D21" s="118"/>
      <c r="E21" s="119"/>
      <c r="F21" s="120" t="n">
        <v>0</v>
      </c>
      <c r="G21" s="121" t="s">
        <v>47</v>
      </c>
      <c r="H21" s="121" t="s">
        <v>47</v>
      </c>
      <c r="I21" s="120">
        <f>F21</f>
      </c>
    </row>
    <row r="22">
      <c r="A22" s="117" t="s">
        <v>265</v>
      </c>
      <c r="B22" s="118"/>
      <c r="C22" s="118"/>
      <c r="D22" s="118"/>
      <c r="E22" s="119"/>
      <c r="F22" s="120" t="n">
        <v>0</v>
      </c>
      <c r="G22" s="121" t="s">
        <v>47</v>
      </c>
      <c r="H22" s="121" t="s">
        <v>47</v>
      </c>
      <c r="I22" s="120">
        <f>F22</f>
      </c>
    </row>
    <row r="23">
      <c r="A23" s="117" t="s">
        <v>268</v>
      </c>
      <c r="B23" s="118"/>
      <c r="C23" s="118"/>
      <c r="D23" s="118"/>
      <c r="E23" s="119"/>
      <c r="F23" s="120" t="n">
        <v>0</v>
      </c>
      <c r="G23" s="121" t="s">
        <v>47</v>
      </c>
      <c r="H23" s="121" t="s">
        <v>47</v>
      </c>
      <c r="I23" s="120">
        <f>F23</f>
      </c>
    </row>
    <row r="24">
      <c r="A24" s="117" t="s">
        <v>269</v>
      </c>
      <c r="B24" s="118"/>
      <c r="C24" s="118"/>
      <c r="D24" s="118"/>
      <c r="E24" s="119"/>
      <c r="F24" s="120" t="n">
        <v>0</v>
      </c>
      <c r="G24" s="121" t="s">
        <v>47</v>
      </c>
      <c r="H24" s="121" t="s">
        <v>47</v>
      </c>
      <c r="I24" s="120">
        <f>F24</f>
      </c>
    </row>
    <row r="25">
      <c r="A25" s="117" t="s">
        <v>271</v>
      </c>
      <c r="B25" s="118"/>
      <c r="C25" s="118"/>
      <c r="D25" s="118"/>
      <c r="E25" s="119"/>
      <c r="F25" s="120" t="n">
        <v>0</v>
      </c>
      <c r="G25" s="121" t="s">
        <v>47</v>
      </c>
      <c r="H25" s="121" t="s">
        <v>47</v>
      </c>
      <c r="I25" s="120">
        <f>F25</f>
      </c>
    </row>
    <row r="26">
      <c r="A26" s="122" t="s">
        <v>272</v>
      </c>
      <c r="B26" s="123"/>
      <c r="C26" s="123"/>
      <c r="D26" s="123"/>
      <c r="E26" s="124"/>
      <c r="F26" s="125" t="n">
        <v>0</v>
      </c>
      <c r="G26" s="126" t="s">
        <v>47</v>
      </c>
      <c r="H26" s="126" t="s">
        <v>47</v>
      </c>
      <c r="I26" s="125">
        <f>F26</f>
      </c>
    </row>
    <row r="27">
      <c r="A27" s="127" t="s">
        <v>298</v>
      </c>
      <c r="B27" s="128"/>
      <c r="C27" s="128"/>
      <c r="D27" s="128"/>
      <c r="E27" s="129"/>
      <c r="F27" s="130" t="s">
        <v>47</v>
      </c>
      <c r="G27" s="131" t="s">
        <v>47</v>
      </c>
      <c r="H27" s="131" t="s">
        <v>47</v>
      </c>
      <c r="I27" s="132">
        <f>SUM(I21:I26)</f>
      </c>
    </row>
    <row r="29">
      <c r="A29" s="133" t="s">
        <v>299</v>
      </c>
      <c r="B29" s="134"/>
      <c r="C29" s="134"/>
      <c r="D29" s="134"/>
      <c r="E29" s="135"/>
      <c r="F29" s="136">
        <f>I18+I27</f>
      </c>
      <c r="G29" s="137"/>
      <c r="H29" s="137"/>
      <c r="I29" s="138"/>
    </row>
    <row r="33">
      <c r="A33" s="112" t="s">
        <v>300</v>
      </c>
      <c r="B33" s="112"/>
      <c r="C33" s="112"/>
      <c r="D33" s="112"/>
      <c r="E33" s="112"/>
    </row>
    <row r="34">
      <c r="A34" s="113" t="s">
        <v>301</v>
      </c>
      <c r="B34" s="114"/>
      <c r="C34" s="114"/>
      <c r="D34" s="114"/>
      <c r="E34" s="115"/>
      <c r="F34" s="116" t="s">
        <v>294</v>
      </c>
      <c r="G34" s="116" t="s">
        <v>295</v>
      </c>
      <c r="H34" s="116" t="s">
        <v>296</v>
      </c>
      <c r="I34" s="116" t="s">
        <v>294</v>
      </c>
    </row>
    <row r="35">
      <c r="A35" s="117" t="s">
        <v>302</v>
      </c>
      <c r="B35" s="118"/>
      <c r="C35" s="118"/>
      <c r="D35" s="118"/>
      <c r="E35" s="119"/>
      <c r="F35" s="120">
        <f>SUM('Stavební rozpočet'!BM12:BM144)</f>
      </c>
      <c r="G35" s="121" t="s">
        <v>47</v>
      </c>
      <c r="H35" s="121" t="s">
        <v>47</v>
      </c>
      <c r="I35" s="120">
        <f>F35</f>
      </c>
    </row>
    <row r="36">
      <c r="A36" s="117" t="s">
        <v>303</v>
      </c>
      <c r="B36" s="118"/>
      <c r="C36" s="118"/>
      <c r="D36" s="118"/>
      <c r="E36" s="119"/>
      <c r="F36" s="120">
        <f>SUM('Stavební rozpočet'!BN12:BN144)</f>
      </c>
      <c r="G36" s="121" t="s">
        <v>47</v>
      </c>
      <c r="H36" s="121" t="s">
        <v>47</v>
      </c>
      <c r="I36" s="120">
        <f>F36</f>
      </c>
    </row>
    <row r="37">
      <c r="A37" s="117" t="s">
        <v>263</v>
      </c>
      <c r="B37" s="118"/>
      <c r="C37" s="118"/>
      <c r="D37" s="118"/>
      <c r="E37" s="119"/>
      <c r="F37" s="120">
        <f>SUM('Stavební rozpočet'!BO12:BO144)</f>
      </c>
      <c r="G37" s="121" t="s">
        <v>47</v>
      </c>
      <c r="H37" s="121" t="s">
        <v>47</v>
      </c>
      <c r="I37" s="120">
        <f>F37</f>
      </c>
    </row>
    <row r="38">
      <c r="A38" s="117" t="s">
        <v>238</v>
      </c>
      <c r="B38" s="118"/>
      <c r="C38" s="118"/>
      <c r="D38" s="118"/>
      <c r="E38" s="119"/>
      <c r="F38" s="120">
        <f>SUM('Stavební rozpočet'!BP12:BP144)</f>
      </c>
      <c r="G38" s="121" t="s">
        <v>47</v>
      </c>
      <c r="H38" s="121" t="s">
        <v>47</v>
      </c>
      <c r="I38" s="120">
        <f>F38</f>
      </c>
    </row>
    <row r="39">
      <c r="A39" s="117" t="s">
        <v>304</v>
      </c>
      <c r="B39" s="118"/>
      <c r="C39" s="118"/>
      <c r="D39" s="118"/>
      <c r="E39" s="119"/>
      <c r="F39" s="120">
        <f>SUM('Stavební rozpočet'!BQ12:BQ144)</f>
      </c>
      <c r="G39" s="121" t="s">
        <v>47</v>
      </c>
      <c r="H39" s="121" t="s">
        <v>47</v>
      </c>
      <c r="I39" s="120">
        <f>F39</f>
      </c>
    </row>
    <row r="40">
      <c r="A40" s="117" t="s">
        <v>268</v>
      </c>
      <c r="B40" s="118"/>
      <c r="C40" s="118"/>
      <c r="D40" s="118"/>
      <c r="E40" s="119"/>
      <c r="F40" s="120">
        <f>SUM('Stavební rozpočet'!BR12:BR144)</f>
      </c>
      <c r="G40" s="121" t="s">
        <v>47</v>
      </c>
      <c r="H40" s="121" t="s">
        <v>47</v>
      </c>
      <c r="I40" s="120">
        <f>F40</f>
      </c>
    </row>
    <row r="41">
      <c r="A41" s="117" t="s">
        <v>269</v>
      </c>
      <c r="B41" s="118"/>
      <c r="C41" s="118"/>
      <c r="D41" s="118"/>
      <c r="E41" s="119"/>
      <c r="F41" s="120">
        <f>SUM('Stavební rozpočet'!BS12:BS144)</f>
      </c>
      <c r="G41" s="121" t="s">
        <v>47</v>
      </c>
      <c r="H41" s="121" t="s">
        <v>47</v>
      </c>
      <c r="I41" s="120">
        <f>F41</f>
      </c>
    </row>
    <row r="42">
      <c r="A42" s="117" t="s">
        <v>305</v>
      </c>
      <c r="B42" s="118"/>
      <c r="C42" s="118"/>
      <c r="D42" s="118"/>
      <c r="E42" s="119"/>
      <c r="F42" s="120">
        <f>SUM('Stavební rozpočet'!BT12:BT144)</f>
      </c>
      <c r="G42" s="121" t="s">
        <v>47</v>
      </c>
      <c r="H42" s="121" t="s">
        <v>47</v>
      </c>
      <c r="I42" s="120">
        <f>F42</f>
      </c>
    </row>
    <row r="43">
      <c r="A43" s="117" t="s">
        <v>306</v>
      </c>
      <c r="B43" s="118"/>
      <c r="C43" s="118"/>
      <c r="D43" s="118"/>
      <c r="E43" s="119"/>
      <c r="F43" s="120">
        <f>SUM('Stavební rozpočet'!BU12:BU144)</f>
      </c>
      <c r="G43" s="121" t="s">
        <v>47</v>
      </c>
      <c r="H43" s="121" t="s">
        <v>47</v>
      </c>
      <c r="I43" s="120">
        <f>F43</f>
      </c>
    </row>
    <row r="44">
      <c r="A44" s="122" t="s">
        <v>307</v>
      </c>
      <c r="B44" s="123"/>
      <c r="C44" s="123"/>
      <c r="D44" s="123"/>
      <c r="E44" s="124"/>
      <c r="F44" s="125">
        <f>SUM('Stavební rozpočet'!BV12:BV144)</f>
      </c>
      <c r="G44" s="126" t="s">
        <v>47</v>
      </c>
      <c r="H44" s="126" t="s">
        <v>47</v>
      </c>
      <c r="I44" s="125">
        <f>F44</f>
      </c>
    </row>
    <row r="45">
      <c r="A45" s="127" t="s">
        <v>308</v>
      </c>
      <c r="B45" s="128"/>
      <c r="C45" s="128"/>
      <c r="D45" s="128"/>
      <c r="E45" s="129"/>
      <c r="F45" s="130" t="s">
        <v>47</v>
      </c>
      <c r="G45" s="131" t="s">
        <v>47</v>
      </c>
      <c r="H45" s="131" t="s">
        <v>47</v>
      </c>
      <c r="I45" s="132">
        <f>SUM(I35:I44)</f>
      </c>
    </row>
  </sheetData>
  <mergeCells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I2:I3"/>
    <mergeCell ref="I4:I5"/>
    <mergeCell ref="I6:I7"/>
    <mergeCell ref="I8:I9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top="0.591000020503998" right="0.393999993801117" bottom="0.591000020503998" header="0" footer="0"/>
  <pageSetup orientation="landscape" fitToHeight="0" fitToWidth="1" cellComments="none"/>
  <drawing r:id="rId1"/>
</worksheet>
</file>

<file path=docProps/core.xml><?xml version="1.0" encoding="utf-8"?>
<cp:coreProperties xmlns:xsi="http://www.w3.org/2001/XMLSchema-instance" xmlns:dcmitype="http://purl.org/dc/dcmitype/" xmlns:dcterms="http://purl.org/dc/terms/" xmlns:dc="http://purl.org/dc/elements/1.1/" xmlns:cp="http://schemas.openxmlformats.org/package/2006/metadata/core-properties">
  <dc:creator>HP</dc:creator>
  <cp:lastModifiedBy>HP</cp:lastModifiedBy>
  <dcterms:created xsi:type="dcterms:W3CDTF">2021-06-10T20:06:38.031Z</dcterms:created>
  <dcterms:modified xsi:type="dcterms:W3CDTF">2021-06-10T20:06:38.351Z</dcterms:modified>
</cp:coreProperties>
</file>