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a4a5378a96c7f6/Plocha/"/>
    </mc:Choice>
  </mc:AlternateContent>
  <xr:revisionPtr revIDLastSave="10" documentId="11_5BC7A15FD32247A38755A70DB4A33D158E2A3E9A" xr6:coauthVersionLast="47" xr6:coauthVersionMax="47" xr10:uidLastSave="{5CF58AF3-AE3A-493B-AAAA-E9E19470BD66}"/>
  <bookViews>
    <workbookView xWindow="-120" yWindow="-120" windowWidth="29040" windowHeight="15720" xr2:uid="{00000000-000D-0000-FFFF-FFFF00000000}"/>
  </bookViews>
  <sheets>
    <sheet name="Krycí list rozpočtu" sheetId="3" r:id="rId1"/>
    <sheet name="Rozpočet - Jen objekty celkem" sheetId="2" r:id="rId2"/>
    <sheet name="Rozpočet - Jen podskupiny" sheetId="1" r:id="rId3"/>
    <sheet name="VORN" sheetId="4" state="hidden" r:id="rId4"/>
    <sheet name="Stavební rozpočet" sheetId="5" r:id="rId5"/>
  </sheets>
  <definedNames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246" i="5" l="1"/>
  <c r="BJ246" i="5"/>
  <c r="BF246" i="5"/>
  <c r="BD246" i="5"/>
  <c r="AW246" i="5"/>
  <c r="AP246" i="5"/>
  <c r="AO246" i="5"/>
  <c r="BH246" i="5" s="1"/>
  <c r="AB246" i="5" s="1"/>
  <c r="AL246" i="5"/>
  <c r="AK246" i="5"/>
  <c r="AJ246" i="5"/>
  <c r="AH246" i="5"/>
  <c r="AG246" i="5"/>
  <c r="AF246" i="5"/>
  <c r="AE246" i="5"/>
  <c r="AD246" i="5"/>
  <c r="Z246" i="5"/>
  <c r="I246" i="5"/>
  <c r="BP245" i="5"/>
  <c r="BJ245" i="5"/>
  <c r="BF245" i="5"/>
  <c r="BD245" i="5"/>
  <c r="AW245" i="5"/>
  <c r="AP245" i="5"/>
  <c r="AO245" i="5"/>
  <c r="BH245" i="5" s="1"/>
  <c r="AB245" i="5" s="1"/>
  <c r="AL245" i="5"/>
  <c r="AK245" i="5"/>
  <c r="AJ245" i="5"/>
  <c r="AH245" i="5"/>
  <c r="AG245" i="5"/>
  <c r="AF245" i="5"/>
  <c r="AE245" i="5"/>
  <c r="AD245" i="5"/>
  <c r="Z245" i="5"/>
  <c r="I245" i="5"/>
  <c r="AU244" i="5"/>
  <c r="AT244" i="5"/>
  <c r="AS244" i="5"/>
  <c r="I244" i="5"/>
  <c r="BO243" i="5"/>
  <c r="BJ243" i="5"/>
  <c r="BI243" i="5"/>
  <c r="AC243" i="5" s="1"/>
  <c r="BF243" i="5"/>
  <c r="BD243" i="5"/>
  <c r="AP243" i="5"/>
  <c r="AX243" i="5" s="1"/>
  <c r="AO243" i="5"/>
  <c r="AW243" i="5" s="1"/>
  <c r="AV243" i="5" s="1"/>
  <c r="AK243" i="5"/>
  <c r="AJ243" i="5"/>
  <c r="AH243" i="5"/>
  <c r="AG243" i="5"/>
  <c r="AF243" i="5"/>
  <c r="AE243" i="5"/>
  <c r="AD243" i="5"/>
  <c r="Z243" i="5"/>
  <c r="I243" i="5"/>
  <c r="AL243" i="5" s="1"/>
  <c r="BO242" i="5"/>
  <c r="BJ242" i="5"/>
  <c r="BI242" i="5"/>
  <c r="AC242" i="5" s="1"/>
  <c r="BF242" i="5"/>
  <c r="BD242" i="5"/>
  <c r="BC242" i="5"/>
  <c r="AW242" i="5"/>
  <c r="AV242" i="5" s="1"/>
  <c r="AP242" i="5"/>
  <c r="AX242" i="5" s="1"/>
  <c r="AO242" i="5"/>
  <c r="BH242" i="5" s="1"/>
  <c r="AB242" i="5" s="1"/>
  <c r="AL242" i="5"/>
  <c r="AK242" i="5"/>
  <c r="AJ242" i="5"/>
  <c r="AH242" i="5"/>
  <c r="AG242" i="5"/>
  <c r="AF242" i="5"/>
  <c r="AE242" i="5"/>
  <c r="AD242" i="5"/>
  <c r="Z242" i="5"/>
  <c r="I242" i="5"/>
  <c r="BO241" i="5"/>
  <c r="BJ241" i="5"/>
  <c r="BI241" i="5"/>
  <c r="AC241" i="5" s="1"/>
  <c r="BF241" i="5"/>
  <c r="BD241" i="5"/>
  <c r="AW241" i="5"/>
  <c r="AP241" i="5"/>
  <c r="AX241" i="5" s="1"/>
  <c r="BC241" i="5" s="1"/>
  <c r="AO241" i="5"/>
  <c r="BH241" i="5" s="1"/>
  <c r="AB241" i="5" s="1"/>
  <c r="AL241" i="5"/>
  <c r="AK241" i="5"/>
  <c r="AJ241" i="5"/>
  <c r="AS234" i="5" s="1"/>
  <c r="AH241" i="5"/>
  <c r="AG241" i="5"/>
  <c r="AF241" i="5"/>
  <c r="AE241" i="5"/>
  <c r="AD241" i="5"/>
  <c r="Z241" i="5"/>
  <c r="I241" i="5"/>
  <c r="BO240" i="5"/>
  <c r="BJ240" i="5"/>
  <c r="BI240" i="5"/>
  <c r="AC240" i="5" s="1"/>
  <c r="BF240" i="5"/>
  <c r="BD240" i="5"/>
  <c r="BC240" i="5"/>
  <c r="AW240" i="5"/>
  <c r="AV240" i="5" s="1"/>
  <c r="AP240" i="5"/>
  <c r="AX240" i="5" s="1"/>
  <c r="AO240" i="5"/>
  <c r="BH240" i="5" s="1"/>
  <c r="AB240" i="5" s="1"/>
  <c r="AL240" i="5"/>
  <c r="AK240" i="5"/>
  <c r="AJ240" i="5"/>
  <c r="AH240" i="5"/>
  <c r="AG240" i="5"/>
  <c r="AF240" i="5"/>
  <c r="AE240" i="5"/>
  <c r="AD240" i="5"/>
  <c r="Z240" i="5"/>
  <c r="I240" i="5"/>
  <c r="BO239" i="5"/>
  <c r="BJ239" i="5"/>
  <c r="BI239" i="5"/>
  <c r="AC239" i="5" s="1"/>
  <c r="BF239" i="5"/>
  <c r="BD239" i="5"/>
  <c r="AW239" i="5"/>
  <c r="AP239" i="5"/>
  <c r="AX239" i="5" s="1"/>
  <c r="BC239" i="5" s="1"/>
  <c r="AO239" i="5"/>
  <c r="BH239" i="5" s="1"/>
  <c r="AB239" i="5" s="1"/>
  <c r="AL239" i="5"/>
  <c r="AK239" i="5"/>
  <c r="AJ239" i="5"/>
  <c r="AH239" i="5"/>
  <c r="AG239" i="5"/>
  <c r="AF239" i="5"/>
  <c r="AE239" i="5"/>
  <c r="AD239" i="5"/>
  <c r="Z239" i="5"/>
  <c r="I239" i="5"/>
  <c r="BO238" i="5"/>
  <c r="BJ238" i="5"/>
  <c r="BI238" i="5"/>
  <c r="AC238" i="5" s="1"/>
  <c r="BF238" i="5"/>
  <c r="BD238" i="5"/>
  <c r="AW238" i="5"/>
  <c r="AP238" i="5"/>
  <c r="AX238" i="5" s="1"/>
  <c r="BC238" i="5" s="1"/>
  <c r="AO238" i="5"/>
  <c r="BH238" i="5" s="1"/>
  <c r="AB238" i="5" s="1"/>
  <c r="AL238" i="5"/>
  <c r="AK238" i="5"/>
  <c r="AJ238" i="5"/>
  <c r="AH238" i="5"/>
  <c r="AG238" i="5"/>
  <c r="AF238" i="5"/>
  <c r="AE238" i="5"/>
  <c r="AD238" i="5"/>
  <c r="Z238" i="5"/>
  <c r="I238" i="5"/>
  <c r="BO237" i="5"/>
  <c r="BJ237" i="5"/>
  <c r="BI237" i="5"/>
  <c r="AC237" i="5" s="1"/>
  <c r="BF237" i="5"/>
  <c r="BD237" i="5"/>
  <c r="AW237" i="5"/>
  <c r="AP237" i="5"/>
  <c r="AX237" i="5" s="1"/>
  <c r="BC237" i="5" s="1"/>
  <c r="AO237" i="5"/>
  <c r="BH237" i="5" s="1"/>
  <c r="AB237" i="5" s="1"/>
  <c r="AK237" i="5"/>
  <c r="AJ237" i="5"/>
  <c r="AH237" i="5"/>
  <c r="AG237" i="5"/>
  <c r="AF237" i="5"/>
  <c r="AE237" i="5"/>
  <c r="AD237" i="5"/>
  <c r="Z237" i="5"/>
  <c r="I237" i="5"/>
  <c r="AL237" i="5" s="1"/>
  <c r="BO236" i="5"/>
  <c r="BJ236" i="5"/>
  <c r="BI236" i="5"/>
  <c r="AC236" i="5" s="1"/>
  <c r="BF236" i="5"/>
  <c r="BD236" i="5"/>
  <c r="AW236" i="5"/>
  <c r="AP236" i="5"/>
  <c r="AX236" i="5" s="1"/>
  <c r="BC236" i="5" s="1"/>
  <c r="AO236" i="5"/>
  <c r="BH236" i="5" s="1"/>
  <c r="AB236" i="5" s="1"/>
  <c r="AK236" i="5"/>
  <c r="AJ236" i="5"/>
  <c r="AH236" i="5"/>
  <c r="AG236" i="5"/>
  <c r="AF236" i="5"/>
  <c r="AE236" i="5"/>
  <c r="AD236" i="5"/>
  <c r="Z236" i="5"/>
  <c r="I236" i="5"/>
  <c r="AL236" i="5" s="1"/>
  <c r="BO235" i="5"/>
  <c r="BJ235" i="5"/>
  <c r="BI235" i="5"/>
  <c r="AC235" i="5" s="1"/>
  <c r="BF235" i="5"/>
  <c r="BD235" i="5"/>
  <c r="AW235" i="5"/>
  <c r="AP235" i="5"/>
  <c r="AX235" i="5" s="1"/>
  <c r="BC235" i="5" s="1"/>
  <c r="AO235" i="5"/>
  <c r="BH235" i="5" s="1"/>
  <c r="AB235" i="5" s="1"/>
  <c r="AK235" i="5"/>
  <c r="AT234" i="5" s="1"/>
  <c r="AJ235" i="5"/>
  <c r="AH235" i="5"/>
  <c r="AG235" i="5"/>
  <c r="AF235" i="5"/>
  <c r="AE235" i="5"/>
  <c r="AD235" i="5"/>
  <c r="Z235" i="5"/>
  <c r="I235" i="5"/>
  <c r="AL235" i="5" s="1"/>
  <c r="BN233" i="5"/>
  <c r="BJ233" i="5"/>
  <c r="BF233" i="5"/>
  <c r="BD233" i="5"/>
  <c r="AW233" i="5"/>
  <c r="AP233" i="5"/>
  <c r="AX233" i="5" s="1"/>
  <c r="BC233" i="5" s="1"/>
  <c r="AO233" i="5"/>
  <c r="BH233" i="5" s="1"/>
  <c r="AL233" i="5"/>
  <c r="AU229" i="5" s="1"/>
  <c r="AK233" i="5"/>
  <c r="AJ233" i="5"/>
  <c r="AH233" i="5"/>
  <c r="AG233" i="5"/>
  <c r="AF233" i="5"/>
  <c r="AE233" i="5"/>
  <c r="AD233" i="5"/>
  <c r="AB233" i="5"/>
  <c r="Z233" i="5"/>
  <c r="I233" i="5"/>
  <c r="BN232" i="5"/>
  <c r="BJ232" i="5"/>
  <c r="BI232" i="5"/>
  <c r="AC232" i="5" s="1"/>
  <c r="BH232" i="5"/>
  <c r="BF232" i="5"/>
  <c r="BD232" i="5"/>
  <c r="AW232" i="5"/>
  <c r="AP232" i="5"/>
  <c r="AX232" i="5" s="1"/>
  <c r="BC232" i="5" s="1"/>
  <c r="AO232" i="5"/>
  <c r="AL232" i="5"/>
  <c r="AK232" i="5"/>
  <c r="AJ232" i="5"/>
  <c r="AH232" i="5"/>
  <c r="AG232" i="5"/>
  <c r="AF232" i="5"/>
  <c r="AE232" i="5"/>
  <c r="AD232" i="5"/>
  <c r="AB232" i="5"/>
  <c r="Z232" i="5"/>
  <c r="I232" i="5"/>
  <c r="BN231" i="5"/>
  <c r="BJ231" i="5"/>
  <c r="BH231" i="5"/>
  <c r="BF231" i="5"/>
  <c r="BD231" i="5"/>
  <c r="AW231" i="5"/>
  <c r="AP231" i="5"/>
  <c r="AX231" i="5" s="1"/>
  <c r="BC231" i="5" s="1"/>
  <c r="AO231" i="5"/>
  <c r="AL231" i="5"/>
  <c r="AK231" i="5"/>
  <c r="AJ231" i="5"/>
  <c r="AH231" i="5"/>
  <c r="AG231" i="5"/>
  <c r="AF231" i="5"/>
  <c r="AE231" i="5"/>
  <c r="AD231" i="5"/>
  <c r="AB231" i="5"/>
  <c r="Z231" i="5"/>
  <c r="I231" i="5"/>
  <c r="BN230" i="5"/>
  <c r="BJ230" i="5"/>
  <c r="BH230" i="5"/>
  <c r="BF230" i="5"/>
  <c r="BD230" i="5"/>
  <c r="AW230" i="5"/>
  <c r="AV230" i="5"/>
  <c r="AP230" i="5"/>
  <c r="AX230" i="5" s="1"/>
  <c r="BC230" i="5" s="1"/>
  <c r="AO230" i="5"/>
  <c r="AL230" i="5"/>
  <c r="AK230" i="5"/>
  <c r="AT229" i="5" s="1"/>
  <c r="AJ230" i="5"/>
  <c r="AH230" i="5"/>
  <c r="AG230" i="5"/>
  <c r="AF230" i="5"/>
  <c r="AE230" i="5"/>
  <c r="AD230" i="5"/>
  <c r="AB230" i="5"/>
  <c r="Z230" i="5"/>
  <c r="I230" i="5"/>
  <c r="AS229" i="5"/>
  <c r="I229" i="5"/>
  <c r="BM228" i="5"/>
  <c r="BJ228" i="5"/>
  <c r="BF228" i="5"/>
  <c r="BD228" i="5"/>
  <c r="AW228" i="5"/>
  <c r="AP228" i="5"/>
  <c r="AO228" i="5"/>
  <c r="BH228" i="5" s="1"/>
  <c r="AB228" i="5" s="1"/>
  <c r="AL228" i="5"/>
  <c r="AK228" i="5"/>
  <c r="AJ228" i="5"/>
  <c r="AH228" i="5"/>
  <c r="AG228" i="5"/>
  <c r="AF228" i="5"/>
  <c r="AE228" i="5"/>
  <c r="AD228" i="5"/>
  <c r="Z228" i="5"/>
  <c r="I228" i="5"/>
  <c r="BM227" i="5"/>
  <c r="BJ227" i="5"/>
  <c r="BF227" i="5"/>
  <c r="BD227" i="5"/>
  <c r="AW227" i="5"/>
  <c r="AP227" i="5"/>
  <c r="AO227" i="5"/>
  <c r="BH227" i="5" s="1"/>
  <c r="AB227" i="5" s="1"/>
  <c r="AL227" i="5"/>
  <c r="AK227" i="5"/>
  <c r="AJ227" i="5"/>
  <c r="AH227" i="5"/>
  <c r="AG227" i="5"/>
  <c r="AF227" i="5"/>
  <c r="AE227" i="5"/>
  <c r="AD227" i="5"/>
  <c r="Z227" i="5"/>
  <c r="I227" i="5"/>
  <c r="BM226" i="5"/>
  <c r="BJ226" i="5"/>
  <c r="BF226" i="5"/>
  <c r="BD226" i="5"/>
  <c r="AW226" i="5"/>
  <c r="AP226" i="5"/>
  <c r="AO226" i="5"/>
  <c r="BH226" i="5" s="1"/>
  <c r="AB226" i="5" s="1"/>
  <c r="AL226" i="5"/>
  <c r="AK226" i="5"/>
  <c r="AJ226" i="5"/>
  <c r="AH226" i="5"/>
  <c r="AG226" i="5"/>
  <c r="AF226" i="5"/>
  <c r="AE226" i="5"/>
  <c r="AD226" i="5"/>
  <c r="Z226" i="5"/>
  <c r="I226" i="5"/>
  <c r="BM225" i="5"/>
  <c r="BJ225" i="5"/>
  <c r="BF225" i="5"/>
  <c r="BD225" i="5"/>
  <c r="AW225" i="5"/>
  <c r="AP225" i="5"/>
  <c r="AO225" i="5"/>
  <c r="BH225" i="5" s="1"/>
  <c r="AL225" i="5"/>
  <c r="AK225" i="5"/>
  <c r="AJ225" i="5"/>
  <c r="AH225" i="5"/>
  <c r="AG225" i="5"/>
  <c r="AF225" i="5"/>
  <c r="AE225" i="5"/>
  <c r="AD225" i="5"/>
  <c r="AB225" i="5"/>
  <c r="Z225" i="5"/>
  <c r="I225" i="5"/>
  <c r="BM224" i="5"/>
  <c r="BJ224" i="5"/>
  <c r="BF224" i="5"/>
  <c r="BD224" i="5"/>
  <c r="AW224" i="5"/>
  <c r="AP224" i="5"/>
  <c r="AO224" i="5"/>
  <c r="BH224" i="5" s="1"/>
  <c r="AL224" i="5"/>
  <c r="AK224" i="5"/>
  <c r="AJ224" i="5"/>
  <c r="AH224" i="5"/>
  <c r="AG224" i="5"/>
  <c r="AF224" i="5"/>
  <c r="AE224" i="5"/>
  <c r="AD224" i="5"/>
  <c r="AB224" i="5"/>
  <c r="Z224" i="5"/>
  <c r="I224" i="5"/>
  <c r="BM223" i="5"/>
  <c r="BJ223" i="5"/>
  <c r="BF223" i="5"/>
  <c r="BD223" i="5"/>
  <c r="AW223" i="5"/>
  <c r="AP223" i="5"/>
  <c r="AO223" i="5"/>
  <c r="BH223" i="5" s="1"/>
  <c r="AB223" i="5" s="1"/>
  <c r="AL223" i="5"/>
  <c r="AK223" i="5"/>
  <c r="AJ223" i="5"/>
  <c r="AH223" i="5"/>
  <c r="AG223" i="5"/>
  <c r="AF223" i="5"/>
  <c r="AE223" i="5"/>
  <c r="AD223" i="5"/>
  <c r="Z223" i="5"/>
  <c r="I223" i="5"/>
  <c r="BM222" i="5"/>
  <c r="BJ222" i="5"/>
  <c r="BF222" i="5"/>
  <c r="BD222" i="5"/>
  <c r="AW222" i="5"/>
  <c r="AP222" i="5"/>
  <c r="AO222" i="5"/>
  <c r="BH222" i="5" s="1"/>
  <c r="AB222" i="5" s="1"/>
  <c r="AL222" i="5"/>
  <c r="AK222" i="5"/>
  <c r="AJ222" i="5"/>
  <c r="AH222" i="5"/>
  <c r="AG222" i="5"/>
  <c r="AF222" i="5"/>
  <c r="AE222" i="5"/>
  <c r="AD222" i="5"/>
  <c r="Z222" i="5"/>
  <c r="I222" i="5"/>
  <c r="BM221" i="5"/>
  <c r="BJ221" i="5"/>
  <c r="BF221" i="5"/>
  <c r="BD221" i="5"/>
  <c r="AW221" i="5"/>
  <c r="AP221" i="5"/>
  <c r="AO221" i="5"/>
  <c r="BH221" i="5" s="1"/>
  <c r="AL221" i="5"/>
  <c r="AK221" i="5"/>
  <c r="AJ221" i="5"/>
  <c r="AH221" i="5"/>
  <c r="AG221" i="5"/>
  <c r="AF221" i="5"/>
  <c r="AE221" i="5"/>
  <c r="AD221" i="5"/>
  <c r="AB221" i="5"/>
  <c r="Z221" i="5"/>
  <c r="I221" i="5"/>
  <c r="BM220" i="5"/>
  <c r="BJ220" i="5"/>
  <c r="BF220" i="5"/>
  <c r="BD220" i="5"/>
  <c r="AW220" i="5"/>
  <c r="AP220" i="5"/>
  <c r="AO220" i="5"/>
  <c r="BH220" i="5" s="1"/>
  <c r="AL220" i="5"/>
  <c r="AK220" i="5"/>
  <c r="AJ220" i="5"/>
  <c r="AH220" i="5"/>
  <c r="AG220" i="5"/>
  <c r="AF220" i="5"/>
  <c r="AE220" i="5"/>
  <c r="AD220" i="5"/>
  <c r="AB220" i="5"/>
  <c r="Z220" i="5"/>
  <c r="I220" i="5"/>
  <c r="BM219" i="5"/>
  <c r="BJ219" i="5"/>
  <c r="BF219" i="5"/>
  <c r="BD219" i="5"/>
  <c r="AW219" i="5"/>
  <c r="AP219" i="5"/>
  <c r="AO219" i="5"/>
  <c r="BH219" i="5" s="1"/>
  <c r="AB219" i="5" s="1"/>
  <c r="AL219" i="5"/>
  <c r="AK219" i="5"/>
  <c r="AJ219" i="5"/>
  <c r="AH219" i="5"/>
  <c r="AG219" i="5"/>
  <c r="AF219" i="5"/>
  <c r="AE219" i="5"/>
  <c r="AD219" i="5"/>
  <c r="Z219" i="5"/>
  <c r="I219" i="5"/>
  <c r="BM218" i="5"/>
  <c r="BJ218" i="5"/>
  <c r="BF218" i="5"/>
  <c r="BD218" i="5"/>
  <c r="AW218" i="5"/>
  <c r="AP218" i="5"/>
  <c r="AO218" i="5"/>
  <c r="BH218" i="5" s="1"/>
  <c r="AB218" i="5" s="1"/>
  <c r="AL218" i="5"/>
  <c r="AK218" i="5"/>
  <c r="AJ218" i="5"/>
  <c r="AH218" i="5"/>
  <c r="AG218" i="5"/>
  <c r="AF218" i="5"/>
  <c r="AE218" i="5"/>
  <c r="AD218" i="5"/>
  <c r="Z218" i="5"/>
  <c r="I218" i="5"/>
  <c r="I217" i="5" s="1"/>
  <c r="AU217" i="5"/>
  <c r="AT217" i="5"/>
  <c r="AS217" i="5"/>
  <c r="BJ215" i="5"/>
  <c r="BI215" i="5"/>
  <c r="AC215" i="5" s="1"/>
  <c r="BF215" i="5"/>
  <c r="BD215" i="5"/>
  <c r="BC215" i="5"/>
  <c r="AX215" i="5"/>
  <c r="AW215" i="5"/>
  <c r="AV215" i="5" s="1"/>
  <c r="AP215" i="5"/>
  <c r="AO215" i="5"/>
  <c r="BH215" i="5" s="1"/>
  <c r="AB215" i="5" s="1"/>
  <c r="AL215" i="5"/>
  <c r="AK215" i="5"/>
  <c r="AT214" i="5" s="1"/>
  <c r="AJ215" i="5"/>
  <c r="AS214" i="5" s="1"/>
  <c r="AH215" i="5"/>
  <c r="AG215" i="5"/>
  <c r="AF215" i="5"/>
  <c r="AE215" i="5"/>
  <c r="AD215" i="5"/>
  <c r="Z215" i="5"/>
  <c r="I215" i="5"/>
  <c r="I214" i="5" s="1"/>
  <c r="AU214" i="5"/>
  <c r="BJ213" i="5"/>
  <c r="BF213" i="5"/>
  <c r="BD213" i="5"/>
  <c r="AP213" i="5"/>
  <c r="AX213" i="5" s="1"/>
  <c r="AO213" i="5"/>
  <c r="AW213" i="5" s="1"/>
  <c r="AK213" i="5"/>
  <c r="AT211" i="5" s="1"/>
  <c r="AJ213" i="5"/>
  <c r="AH213" i="5"/>
  <c r="AG213" i="5"/>
  <c r="AF213" i="5"/>
  <c r="AE213" i="5"/>
  <c r="AD213" i="5"/>
  <c r="Z213" i="5"/>
  <c r="I213" i="5"/>
  <c r="AL213" i="5" s="1"/>
  <c r="BJ212" i="5"/>
  <c r="BI212" i="5"/>
  <c r="AC212" i="5" s="1"/>
  <c r="BH212" i="5"/>
  <c r="AB212" i="5" s="1"/>
  <c r="BF212" i="5"/>
  <c r="BD212" i="5"/>
  <c r="AP212" i="5"/>
  <c r="AX212" i="5" s="1"/>
  <c r="AO212" i="5"/>
  <c r="AW212" i="5" s="1"/>
  <c r="AK212" i="5"/>
  <c r="AJ212" i="5"/>
  <c r="AH212" i="5"/>
  <c r="AG212" i="5"/>
  <c r="AF212" i="5"/>
  <c r="AE212" i="5"/>
  <c r="AD212" i="5"/>
  <c r="Z212" i="5"/>
  <c r="I212" i="5"/>
  <c r="AL212" i="5" s="1"/>
  <c r="AU211" i="5" s="1"/>
  <c r="AS211" i="5"/>
  <c r="BJ209" i="5"/>
  <c r="BF209" i="5"/>
  <c r="BD209" i="5"/>
  <c r="AX209" i="5"/>
  <c r="AW209" i="5"/>
  <c r="AP209" i="5"/>
  <c r="BI209" i="5" s="1"/>
  <c r="AO209" i="5"/>
  <c r="BH209" i="5" s="1"/>
  <c r="AB209" i="5" s="1"/>
  <c r="AK209" i="5"/>
  <c r="AJ209" i="5"/>
  <c r="AH209" i="5"/>
  <c r="AG209" i="5"/>
  <c r="AF209" i="5"/>
  <c r="AE209" i="5"/>
  <c r="AD209" i="5"/>
  <c r="AC209" i="5"/>
  <c r="Z209" i="5"/>
  <c r="I209" i="5"/>
  <c r="AL209" i="5" s="1"/>
  <c r="BJ208" i="5"/>
  <c r="BI208" i="5"/>
  <c r="BF208" i="5"/>
  <c r="BD208" i="5"/>
  <c r="AX208" i="5"/>
  <c r="AP208" i="5"/>
  <c r="AO208" i="5"/>
  <c r="BH208" i="5" s="1"/>
  <c r="AB208" i="5" s="1"/>
  <c r="AL208" i="5"/>
  <c r="AK208" i="5"/>
  <c r="AJ208" i="5"/>
  <c r="AH208" i="5"/>
  <c r="AG208" i="5"/>
  <c r="AF208" i="5"/>
  <c r="AE208" i="5"/>
  <c r="AD208" i="5"/>
  <c r="AC208" i="5"/>
  <c r="Z208" i="5"/>
  <c r="I208" i="5"/>
  <c r="BJ207" i="5"/>
  <c r="BI207" i="5"/>
  <c r="AC207" i="5" s="1"/>
  <c r="BH207" i="5"/>
  <c r="BF207" i="5"/>
  <c r="BD207" i="5"/>
  <c r="AW207" i="5"/>
  <c r="BC207" i="5" s="1"/>
  <c r="AV207" i="5"/>
  <c r="AP207" i="5"/>
  <c r="AX207" i="5" s="1"/>
  <c r="AO207" i="5"/>
  <c r="AL207" i="5"/>
  <c r="AK207" i="5"/>
  <c r="AJ207" i="5"/>
  <c r="AH207" i="5"/>
  <c r="AG207" i="5"/>
  <c r="AF207" i="5"/>
  <c r="AE207" i="5"/>
  <c r="AD207" i="5"/>
  <c r="AB207" i="5"/>
  <c r="Z207" i="5"/>
  <c r="I207" i="5"/>
  <c r="BJ206" i="5"/>
  <c r="BH206" i="5"/>
  <c r="AB206" i="5" s="1"/>
  <c r="BF206" i="5"/>
  <c r="BD206" i="5"/>
  <c r="AP206" i="5"/>
  <c r="AX206" i="5" s="1"/>
  <c r="AO206" i="5"/>
  <c r="AW206" i="5" s="1"/>
  <c r="AK206" i="5"/>
  <c r="AJ206" i="5"/>
  <c r="AH206" i="5"/>
  <c r="AG206" i="5"/>
  <c r="AF206" i="5"/>
  <c r="AE206" i="5"/>
  <c r="AD206" i="5"/>
  <c r="Z206" i="5"/>
  <c r="I206" i="5"/>
  <c r="AL206" i="5" s="1"/>
  <c r="BJ205" i="5"/>
  <c r="BI205" i="5"/>
  <c r="AC205" i="5" s="1"/>
  <c r="BH205" i="5"/>
  <c r="AB205" i="5" s="1"/>
  <c r="BF205" i="5"/>
  <c r="BD205" i="5"/>
  <c r="AP205" i="5"/>
  <c r="AX205" i="5" s="1"/>
  <c r="AO205" i="5"/>
  <c r="AW205" i="5" s="1"/>
  <c r="AK205" i="5"/>
  <c r="AJ205" i="5"/>
  <c r="AH205" i="5"/>
  <c r="AG205" i="5"/>
  <c r="AF205" i="5"/>
  <c r="AE205" i="5"/>
  <c r="AD205" i="5"/>
  <c r="Z205" i="5"/>
  <c r="I205" i="5"/>
  <c r="AL205" i="5" s="1"/>
  <c r="BJ204" i="5"/>
  <c r="BH204" i="5"/>
  <c r="AB204" i="5" s="1"/>
  <c r="BF204" i="5"/>
  <c r="BD204" i="5"/>
  <c r="AX204" i="5"/>
  <c r="AP204" i="5"/>
  <c r="BI204" i="5" s="1"/>
  <c r="AC204" i="5" s="1"/>
  <c r="AO204" i="5"/>
  <c r="AW204" i="5" s="1"/>
  <c r="AL204" i="5"/>
  <c r="AK204" i="5"/>
  <c r="AJ204" i="5"/>
  <c r="AH204" i="5"/>
  <c r="AG204" i="5"/>
  <c r="AF204" i="5"/>
  <c r="AE204" i="5"/>
  <c r="AD204" i="5"/>
  <c r="Z204" i="5"/>
  <c r="I204" i="5"/>
  <c r="BJ203" i="5"/>
  <c r="BI203" i="5"/>
  <c r="AC203" i="5" s="1"/>
  <c r="BF203" i="5"/>
  <c r="BD203" i="5"/>
  <c r="BC203" i="5"/>
  <c r="AX203" i="5"/>
  <c r="AW203" i="5"/>
  <c r="AV203" i="5" s="1"/>
  <c r="AP203" i="5"/>
  <c r="AO203" i="5"/>
  <c r="BH203" i="5" s="1"/>
  <c r="AB203" i="5" s="1"/>
  <c r="AL203" i="5"/>
  <c r="AK203" i="5"/>
  <c r="AJ203" i="5"/>
  <c r="AH203" i="5"/>
  <c r="AG203" i="5"/>
  <c r="AF203" i="5"/>
  <c r="AE203" i="5"/>
  <c r="AD203" i="5"/>
  <c r="Z203" i="5"/>
  <c r="I203" i="5"/>
  <c r="BJ202" i="5"/>
  <c r="BI202" i="5"/>
  <c r="AC202" i="5" s="1"/>
  <c r="BH202" i="5"/>
  <c r="AB202" i="5" s="1"/>
  <c r="BF202" i="5"/>
  <c r="BD202" i="5"/>
  <c r="BC202" i="5"/>
  <c r="AX202" i="5"/>
  <c r="AV202" i="5" s="1"/>
  <c r="AW202" i="5"/>
  <c r="AP202" i="5"/>
  <c r="AO202" i="5"/>
  <c r="AL202" i="5"/>
  <c r="AK202" i="5"/>
  <c r="AJ202" i="5"/>
  <c r="AH202" i="5"/>
  <c r="AG202" i="5"/>
  <c r="AF202" i="5"/>
  <c r="AE202" i="5"/>
  <c r="AD202" i="5"/>
  <c r="Z202" i="5"/>
  <c r="I202" i="5"/>
  <c r="BJ201" i="5"/>
  <c r="BH201" i="5"/>
  <c r="AB201" i="5" s="1"/>
  <c r="BF201" i="5"/>
  <c r="BD201" i="5"/>
  <c r="AX201" i="5"/>
  <c r="BC201" i="5" s="1"/>
  <c r="AW201" i="5"/>
  <c r="AP201" i="5"/>
  <c r="BI201" i="5" s="1"/>
  <c r="AC201" i="5" s="1"/>
  <c r="AO201" i="5"/>
  <c r="AK201" i="5"/>
  <c r="AJ201" i="5"/>
  <c r="AH201" i="5"/>
  <c r="AG201" i="5"/>
  <c r="AF201" i="5"/>
  <c r="AE201" i="5"/>
  <c r="AD201" i="5"/>
  <c r="Z201" i="5"/>
  <c r="I201" i="5"/>
  <c r="AL201" i="5" s="1"/>
  <c r="BJ200" i="5"/>
  <c r="BF200" i="5"/>
  <c r="BD200" i="5"/>
  <c r="AX200" i="5"/>
  <c r="AW200" i="5"/>
  <c r="AP200" i="5"/>
  <c r="BI200" i="5" s="1"/>
  <c r="AC200" i="5" s="1"/>
  <c r="AO200" i="5"/>
  <c r="BH200" i="5" s="1"/>
  <c r="AK200" i="5"/>
  <c r="AJ200" i="5"/>
  <c r="AH200" i="5"/>
  <c r="AG200" i="5"/>
  <c r="AF200" i="5"/>
  <c r="AE200" i="5"/>
  <c r="AD200" i="5"/>
  <c r="AB200" i="5"/>
  <c r="Z200" i="5"/>
  <c r="I200" i="5"/>
  <c r="AL200" i="5" s="1"/>
  <c r="BJ199" i="5"/>
  <c r="BF199" i="5"/>
  <c r="BD199" i="5"/>
  <c r="AW199" i="5"/>
  <c r="AP199" i="5"/>
  <c r="AO199" i="5"/>
  <c r="BH199" i="5" s="1"/>
  <c r="AB199" i="5" s="1"/>
  <c r="AL199" i="5"/>
  <c r="AK199" i="5"/>
  <c r="AJ199" i="5"/>
  <c r="AH199" i="5"/>
  <c r="AG199" i="5"/>
  <c r="AF199" i="5"/>
  <c r="AE199" i="5"/>
  <c r="AD199" i="5"/>
  <c r="Z199" i="5"/>
  <c r="I199" i="5"/>
  <c r="BJ196" i="5"/>
  <c r="BI196" i="5"/>
  <c r="AC196" i="5" s="1"/>
  <c r="BF196" i="5"/>
  <c r="BD196" i="5"/>
  <c r="BC196" i="5"/>
  <c r="AX196" i="5"/>
  <c r="AW196" i="5"/>
  <c r="AV196" i="5" s="1"/>
  <c r="AP196" i="5"/>
  <c r="AO196" i="5"/>
  <c r="BH196" i="5" s="1"/>
  <c r="AB196" i="5" s="1"/>
  <c r="AL196" i="5"/>
  <c r="AK196" i="5"/>
  <c r="AJ196" i="5"/>
  <c r="AH196" i="5"/>
  <c r="AG196" i="5"/>
  <c r="AF196" i="5"/>
  <c r="AE196" i="5"/>
  <c r="AD196" i="5"/>
  <c r="Z196" i="5"/>
  <c r="I196" i="5"/>
  <c r="BJ195" i="5"/>
  <c r="BI195" i="5"/>
  <c r="AC195" i="5" s="1"/>
  <c r="BH195" i="5"/>
  <c r="AB195" i="5" s="1"/>
  <c r="BF195" i="5"/>
  <c r="BD195" i="5"/>
  <c r="AX195" i="5"/>
  <c r="AW195" i="5"/>
  <c r="AP195" i="5"/>
  <c r="AO195" i="5"/>
  <c r="AL195" i="5"/>
  <c r="AK195" i="5"/>
  <c r="AJ195" i="5"/>
  <c r="AH195" i="5"/>
  <c r="AG195" i="5"/>
  <c r="AF195" i="5"/>
  <c r="AE195" i="5"/>
  <c r="AD195" i="5"/>
  <c r="Z195" i="5"/>
  <c r="I195" i="5"/>
  <c r="BJ194" i="5"/>
  <c r="BH194" i="5"/>
  <c r="AB194" i="5" s="1"/>
  <c r="BF194" i="5"/>
  <c r="BD194" i="5"/>
  <c r="AX194" i="5"/>
  <c r="AW194" i="5"/>
  <c r="AV194" i="5" s="1"/>
  <c r="AP194" i="5"/>
  <c r="BI194" i="5" s="1"/>
  <c r="AC194" i="5" s="1"/>
  <c r="AO194" i="5"/>
  <c r="AL194" i="5"/>
  <c r="AK194" i="5"/>
  <c r="AT192" i="5" s="1"/>
  <c r="AJ194" i="5"/>
  <c r="AH194" i="5"/>
  <c r="AG194" i="5"/>
  <c r="AF194" i="5"/>
  <c r="AE194" i="5"/>
  <c r="AD194" i="5"/>
  <c r="Z194" i="5"/>
  <c r="I194" i="5"/>
  <c r="BJ193" i="5"/>
  <c r="BI193" i="5"/>
  <c r="BF193" i="5"/>
  <c r="BD193" i="5"/>
  <c r="AX193" i="5"/>
  <c r="AW193" i="5"/>
  <c r="AV193" i="5" s="1"/>
  <c r="AP193" i="5"/>
  <c r="AO193" i="5"/>
  <c r="BH193" i="5" s="1"/>
  <c r="AB193" i="5" s="1"/>
  <c r="AK193" i="5"/>
  <c r="AJ193" i="5"/>
  <c r="AH193" i="5"/>
  <c r="AG193" i="5"/>
  <c r="AF193" i="5"/>
  <c r="AE193" i="5"/>
  <c r="AD193" i="5"/>
  <c r="AC193" i="5"/>
  <c r="Z193" i="5"/>
  <c r="I193" i="5"/>
  <c r="AL193" i="5" s="1"/>
  <c r="AU192" i="5" s="1"/>
  <c r="BJ191" i="5"/>
  <c r="BI191" i="5"/>
  <c r="AC191" i="5" s="1"/>
  <c r="BF191" i="5"/>
  <c r="BD191" i="5"/>
  <c r="BC191" i="5"/>
  <c r="AX191" i="5"/>
  <c r="AW191" i="5"/>
  <c r="AV191" i="5" s="1"/>
  <c r="AP191" i="5"/>
  <c r="AO191" i="5"/>
  <c r="BH191" i="5" s="1"/>
  <c r="AB191" i="5" s="1"/>
  <c r="AK191" i="5"/>
  <c r="AT188" i="5" s="1"/>
  <c r="AJ191" i="5"/>
  <c r="AH191" i="5"/>
  <c r="AG191" i="5"/>
  <c r="AF191" i="5"/>
  <c r="AE191" i="5"/>
  <c r="AD191" i="5"/>
  <c r="Z191" i="5"/>
  <c r="I191" i="5"/>
  <c r="AL191" i="5" s="1"/>
  <c r="BJ190" i="5"/>
  <c r="BI190" i="5"/>
  <c r="AC190" i="5" s="1"/>
  <c r="BH190" i="5"/>
  <c r="AB190" i="5" s="1"/>
  <c r="BF190" i="5"/>
  <c r="BD190" i="5"/>
  <c r="AX190" i="5"/>
  <c r="AV190" i="5" s="1"/>
  <c r="AW190" i="5"/>
  <c r="AP190" i="5"/>
  <c r="AO190" i="5"/>
  <c r="AL190" i="5"/>
  <c r="AU188" i="5" s="1"/>
  <c r="AK190" i="5"/>
  <c r="AJ190" i="5"/>
  <c r="AS188" i="5" s="1"/>
  <c r="AH190" i="5"/>
  <c r="AG190" i="5"/>
  <c r="AF190" i="5"/>
  <c r="AE190" i="5"/>
  <c r="AD190" i="5"/>
  <c r="Z190" i="5"/>
  <c r="I190" i="5"/>
  <c r="BJ189" i="5"/>
  <c r="BH189" i="5"/>
  <c r="AB189" i="5" s="1"/>
  <c r="BF189" i="5"/>
  <c r="BD189" i="5"/>
  <c r="BC189" i="5"/>
  <c r="AX189" i="5"/>
  <c r="AW189" i="5"/>
  <c r="AV189" i="5" s="1"/>
  <c r="AP189" i="5"/>
  <c r="BI189" i="5" s="1"/>
  <c r="AO189" i="5"/>
  <c r="AL189" i="5"/>
  <c r="AK189" i="5"/>
  <c r="AJ189" i="5"/>
  <c r="AH189" i="5"/>
  <c r="AG189" i="5"/>
  <c r="AF189" i="5"/>
  <c r="AE189" i="5"/>
  <c r="AD189" i="5"/>
  <c r="AC189" i="5"/>
  <c r="Z189" i="5"/>
  <c r="I189" i="5"/>
  <c r="I188" i="5"/>
  <c r="BJ187" i="5"/>
  <c r="BH187" i="5"/>
  <c r="AB187" i="5" s="1"/>
  <c r="BF187" i="5"/>
  <c r="BD187" i="5"/>
  <c r="AX187" i="5"/>
  <c r="AP187" i="5"/>
  <c r="BI187" i="5" s="1"/>
  <c r="AC187" i="5" s="1"/>
  <c r="AO187" i="5"/>
  <c r="AW187" i="5" s="1"/>
  <c r="AL187" i="5"/>
  <c r="AK187" i="5"/>
  <c r="AT178" i="5" s="1"/>
  <c r="AJ187" i="5"/>
  <c r="AH187" i="5"/>
  <c r="AG187" i="5"/>
  <c r="AF187" i="5"/>
  <c r="AE187" i="5"/>
  <c r="AD187" i="5"/>
  <c r="Z187" i="5"/>
  <c r="I187" i="5"/>
  <c r="BJ186" i="5"/>
  <c r="BI186" i="5"/>
  <c r="AC186" i="5" s="1"/>
  <c r="BF186" i="5"/>
  <c r="BD186" i="5"/>
  <c r="BC186" i="5"/>
  <c r="AX186" i="5"/>
  <c r="AW186" i="5"/>
  <c r="AV186" i="5" s="1"/>
  <c r="AP186" i="5"/>
  <c r="AO186" i="5"/>
  <c r="BH186" i="5" s="1"/>
  <c r="AB186" i="5" s="1"/>
  <c r="AK186" i="5"/>
  <c r="AJ186" i="5"/>
  <c r="AH186" i="5"/>
  <c r="AG186" i="5"/>
  <c r="AF186" i="5"/>
  <c r="AE186" i="5"/>
  <c r="AD186" i="5"/>
  <c r="Z186" i="5"/>
  <c r="I186" i="5"/>
  <c r="AL186" i="5" s="1"/>
  <c r="BJ185" i="5"/>
  <c r="BI185" i="5"/>
  <c r="AC185" i="5" s="1"/>
  <c r="BH185" i="5"/>
  <c r="AB185" i="5" s="1"/>
  <c r="BF185" i="5"/>
  <c r="BD185" i="5"/>
  <c r="AX185" i="5"/>
  <c r="AW185" i="5"/>
  <c r="AP185" i="5"/>
  <c r="AO185" i="5"/>
  <c r="AL185" i="5"/>
  <c r="AK185" i="5"/>
  <c r="AJ185" i="5"/>
  <c r="AH185" i="5"/>
  <c r="AG185" i="5"/>
  <c r="AF185" i="5"/>
  <c r="AE185" i="5"/>
  <c r="AD185" i="5"/>
  <c r="Z185" i="5"/>
  <c r="I185" i="5"/>
  <c r="BJ184" i="5"/>
  <c r="BH184" i="5"/>
  <c r="AB184" i="5" s="1"/>
  <c r="BF184" i="5"/>
  <c r="BD184" i="5"/>
  <c r="AX184" i="5"/>
  <c r="AW184" i="5"/>
  <c r="AV184" i="5" s="1"/>
  <c r="AP184" i="5"/>
  <c r="BI184" i="5" s="1"/>
  <c r="AO184" i="5"/>
  <c r="AL184" i="5"/>
  <c r="AK184" i="5"/>
  <c r="AJ184" i="5"/>
  <c r="AH184" i="5"/>
  <c r="AG184" i="5"/>
  <c r="AF184" i="5"/>
  <c r="AE184" i="5"/>
  <c r="AD184" i="5"/>
  <c r="AC184" i="5"/>
  <c r="Z184" i="5"/>
  <c r="I184" i="5"/>
  <c r="BJ183" i="5"/>
  <c r="BF183" i="5"/>
  <c r="BD183" i="5"/>
  <c r="AX183" i="5"/>
  <c r="AW183" i="5"/>
  <c r="AP183" i="5"/>
  <c r="BI183" i="5" s="1"/>
  <c r="AC183" i="5" s="1"/>
  <c r="AO183" i="5"/>
  <c r="BH183" i="5" s="1"/>
  <c r="AK183" i="5"/>
  <c r="AJ183" i="5"/>
  <c r="AH183" i="5"/>
  <c r="AG183" i="5"/>
  <c r="AF183" i="5"/>
  <c r="AE183" i="5"/>
  <c r="AD183" i="5"/>
  <c r="AB183" i="5"/>
  <c r="Z183" i="5"/>
  <c r="I183" i="5"/>
  <c r="AL183" i="5" s="1"/>
  <c r="BJ182" i="5"/>
  <c r="BF182" i="5"/>
  <c r="BD182" i="5"/>
  <c r="AW182" i="5"/>
  <c r="AP182" i="5"/>
  <c r="AO182" i="5"/>
  <c r="BH182" i="5" s="1"/>
  <c r="AB182" i="5" s="1"/>
  <c r="AK182" i="5"/>
  <c r="AJ182" i="5"/>
  <c r="AH182" i="5"/>
  <c r="AG182" i="5"/>
  <c r="AF182" i="5"/>
  <c r="AE182" i="5"/>
  <c r="AD182" i="5"/>
  <c r="Z182" i="5"/>
  <c r="I182" i="5"/>
  <c r="AL182" i="5" s="1"/>
  <c r="BJ181" i="5"/>
  <c r="BF181" i="5"/>
  <c r="BD181" i="5"/>
  <c r="AX181" i="5"/>
  <c r="AP181" i="5"/>
  <c r="BI181" i="5" s="1"/>
  <c r="AC181" i="5" s="1"/>
  <c r="AO181" i="5"/>
  <c r="AK181" i="5"/>
  <c r="AJ181" i="5"/>
  <c r="AH181" i="5"/>
  <c r="AG181" i="5"/>
  <c r="AF181" i="5"/>
  <c r="AE181" i="5"/>
  <c r="AD181" i="5"/>
  <c r="Z181" i="5"/>
  <c r="I181" i="5"/>
  <c r="AL181" i="5" s="1"/>
  <c r="BJ180" i="5"/>
  <c r="BF180" i="5"/>
  <c r="BD180" i="5"/>
  <c r="AP180" i="5"/>
  <c r="BI180" i="5" s="1"/>
  <c r="AC180" i="5" s="1"/>
  <c r="AO180" i="5"/>
  <c r="AL180" i="5"/>
  <c r="AK180" i="5"/>
  <c r="AJ180" i="5"/>
  <c r="AH180" i="5"/>
  <c r="AG180" i="5"/>
  <c r="AF180" i="5"/>
  <c r="AE180" i="5"/>
  <c r="AD180" i="5"/>
  <c r="Z180" i="5"/>
  <c r="I180" i="5"/>
  <c r="BJ179" i="5"/>
  <c r="BI179" i="5"/>
  <c r="BF179" i="5"/>
  <c r="BD179" i="5"/>
  <c r="AX179" i="5"/>
  <c r="AP179" i="5"/>
  <c r="AO179" i="5"/>
  <c r="BH179" i="5" s="1"/>
  <c r="AB179" i="5" s="1"/>
  <c r="AK179" i="5"/>
  <c r="AJ179" i="5"/>
  <c r="AH179" i="5"/>
  <c r="AG179" i="5"/>
  <c r="AF179" i="5"/>
  <c r="AE179" i="5"/>
  <c r="AD179" i="5"/>
  <c r="AC179" i="5"/>
  <c r="Z179" i="5"/>
  <c r="I179" i="5"/>
  <c r="I178" i="5" s="1"/>
  <c r="BJ177" i="5"/>
  <c r="BF177" i="5"/>
  <c r="BD177" i="5"/>
  <c r="AW177" i="5"/>
  <c r="AP177" i="5"/>
  <c r="AO177" i="5"/>
  <c r="BH177" i="5" s="1"/>
  <c r="AK177" i="5"/>
  <c r="AJ177" i="5"/>
  <c r="AH177" i="5"/>
  <c r="AG177" i="5"/>
  <c r="AF177" i="5"/>
  <c r="AE177" i="5"/>
  <c r="AD177" i="5"/>
  <c r="AB177" i="5"/>
  <c r="Z177" i="5"/>
  <c r="I177" i="5"/>
  <c r="AL177" i="5" s="1"/>
  <c r="AU176" i="5" s="1"/>
  <c r="AT176" i="5"/>
  <c r="AS176" i="5"/>
  <c r="BJ175" i="5"/>
  <c r="BI175" i="5"/>
  <c r="AC175" i="5" s="1"/>
  <c r="BH175" i="5"/>
  <c r="AB175" i="5" s="1"/>
  <c r="BF175" i="5"/>
  <c r="BD175" i="5"/>
  <c r="AX175" i="5"/>
  <c r="BC175" i="5" s="1"/>
  <c r="AW175" i="5"/>
  <c r="AP175" i="5"/>
  <c r="AO175" i="5"/>
  <c r="AL175" i="5"/>
  <c r="AK175" i="5"/>
  <c r="AJ175" i="5"/>
  <c r="AS173" i="5" s="1"/>
  <c r="AH175" i="5"/>
  <c r="AG175" i="5"/>
  <c r="AF175" i="5"/>
  <c r="AE175" i="5"/>
  <c r="AD175" i="5"/>
  <c r="Z175" i="5"/>
  <c r="I175" i="5"/>
  <c r="BJ174" i="5"/>
  <c r="BH174" i="5"/>
  <c r="AB174" i="5" s="1"/>
  <c r="BF174" i="5"/>
  <c r="BD174" i="5"/>
  <c r="AX174" i="5"/>
  <c r="AW174" i="5"/>
  <c r="AV174" i="5" s="1"/>
  <c r="AP174" i="5"/>
  <c r="BI174" i="5" s="1"/>
  <c r="AO174" i="5"/>
  <c r="AK174" i="5"/>
  <c r="AJ174" i="5"/>
  <c r="AH174" i="5"/>
  <c r="AG174" i="5"/>
  <c r="AF174" i="5"/>
  <c r="AE174" i="5"/>
  <c r="AD174" i="5"/>
  <c r="AC174" i="5"/>
  <c r="Z174" i="5"/>
  <c r="I174" i="5"/>
  <c r="AL174" i="5" s="1"/>
  <c r="AU173" i="5" s="1"/>
  <c r="AT173" i="5"/>
  <c r="I173" i="5"/>
  <c r="BJ172" i="5"/>
  <c r="BH172" i="5"/>
  <c r="AB172" i="5" s="1"/>
  <c r="BF172" i="5"/>
  <c r="BD172" i="5"/>
  <c r="AP172" i="5"/>
  <c r="AX172" i="5" s="1"/>
  <c r="AO172" i="5"/>
  <c r="AW172" i="5" s="1"/>
  <c r="AL172" i="5"/>
  <c r="AK172" i="5"/>
  <c r="AJ172" i="5"/>
  <c r="AH172" i="5"/>
  <c r="AG172" i="5"/>
  <c r="AF172" i="5"/>
  <c r="AE172" i="5"/>
  <c r="AD172" i="5"/>
  <c r="Z172" i="5"/>
  <c r="I172" i="5"/>
  <c r="BJ171" i="5"/>
  <c r="BI171" i="5"/>
  <c r="AC171" i="5" s="1"/>
  <c r="BF171" i="5"/>
  <c r="BD171" i="5"/>
  <c r="AX171" i="5"/>
  <c r="AP171" i="5"/>
  <c r="AO171" i="5"/>
  <c r="AW171" i="5" s="1"/>
  <c r="AK171" i="5"/>
  <c r="AT168" i="5" s="1"/>
  <c r="AJ171" i="5"/>
  <c r="AH171" i="5"/>
  <c r="AG171" i="5"/>
  <c r="AF171" i="5"/>
  <c r="AE171" i="5"/>
  <c r="AD171" i="5"/>
  <c r="Z171" i="5"/>
  <c r="I171" i="5"/>
  <c r="AL171" i="5" s="1"/>
  <c r="BJ170" i="5"/>
  <c r="BI170" i="5"/>
  <c r="AC170" i="5" s="1"/>
  <c r="BH170" i="5"/>
  <c r="AB170" i="5" s="1"/>
  <c r="BF170" i="5"/>
  <c r="BD170" i="5"/>
  <c r="AX170" i="5"/>
  <c r="BC170" i="5" s="1"/>
  <c r="AW170" i="5"/>
  <c r="AP170" i="5"/>
  <c r="AO170" i="5"/>
  <c r="AL170" i="5"/>
  <c r="AK170" i="5"/>
  <c r="AJ170" i="5"/>
  <c r="AH170" i="5"/>
  <c r="AG170" i="5"/>
  <c r="AF170" i="5"/>
  <c r="AE170" i="5"/>
  <c r="AD170" i="5"/>
  <c r="Z170" i="5"/>
  <c r="I170" i="5"/>
  <c r="BJ169" i="5"/>
  <c r="BH169" i="5"/>
  <c r="AB169" i="5" s="1"/>
  <c r="BF169" i="5"/>
  <c r="BD169" i="5"/>
  <c r="AX169" i="5"/>
  <c r="AW169" i="5"/>
  <c r="AP169" i="5"/>
  <c r="BI169" i="5" s="1"/>
  <c r="AC169" i="5" s="1"/>
  <c r="AO169" i="5"/>
  <c r="AK169" i="5"/>
  <c r="AJ169" i="5"/>
  <c r="AH169" i="5"/>
  <c r="AG169" i="5"/>
  <c r="AF169" i="5"/>
  <c r="AE169" i="5"/>
  <c r="AD169" i="5"/>
  <c r="Z169" i="5"/>
  <c r="I169" i="5"/>
  <c r="AL169" i="5" s="1"/>
  <c r="AU168" i="5" s="1"/>
  <c r="I168" i="5"/>
  <c r="BJ167" i="5"/>
  <c r="BH167" i="5"/>
  <c r="AB167" i="5" s="1"/>
  <c r="BF167" i="5"/>
  <c r="BD167" i="5"/>
  <c r="AP167" i="5"/>
  <c r="AX167" i="5" s="1"/>
  <c r="AO167" i="5"/>
  <c r="AW167" i="5" s="1"/>
  <c r="AL167" i="5"/>
  <c r="AU166" i="5" s="1"/>
  <c r="AK167" i="5"/>
  <c r="AJ167" i="5"/>
  <c r="AH167" i="5"/>
  <c r="AG167" i="5"/>
  <c r="AF167" i="5"/>
  <c r="AE167" i="5"/>
  <c r="AD167" i="5"/>
  <c r="Z167" i="5"/>
  <c r="I167" i="5"/>
  <c r="AT166" i="5"/>
  <c r="AS166" i="5"/>
  <c r="I166" i="5"/>
  <c r="BJ165" i="5"/>
  <c r="BI165" i="5"/>
  <c r="AC165" i="5" s="1"/>
  <c r="BH165" i="5"/>
  <c r="BF165" i="5"/>
  <c r="BD165" i="5"/>
  <c r="AW165" i="5"/>
  <c r="BC165" i="5" s="1"/>
  <c r="AV165" i="5"/>
  <c r="AP165" i="5"/>
  <c r="AX165" i="5" s="1"/>
  <c r="AO165" i="5"/>
  <c r="AL165" i="5"/>
  <c r="AU164" i="5" s="1"/>
  <c r="AK165" i="5"/>
  <c r="AT164" i="5" s="1"/>
  <c r="AJ165" i="5"/>
  <c r="AH165" i="5"/>
  <c r="AG165" i="5"/>
  <c r="AF165" i="5"/>
  <c r="AE165" i="5"/>
  <c r="AD165" i="5"/>
  <c r="AB165" i="5"/>
  <c r="Z165" i="5"/>
  <c r="I165" i="5"/>
  <c r="AS164" i="5"/>
  <c r="I164" i="5"/>
  <c r="BJ162" i="5"/>
  <c r="BF162" i="5"/>
  <c r="BD162" i="5"/>
  <c r="AW162" i="5"/>
  <c r="AP162" i="5"/>
  <c r="AO162" i="5"/>
  <c r="BH162" i="5" s="1"/>
  <c r="AK162" i="5"/>
  <c r="AJ162" i="5"/>
  <c r="AH162" i="5"/>
  <c r="AG162" i="5"/>
  <c r="AF162" i="5"/>
  <c r="AE162" i="5"/>
  <c r="AD162" i="5"/>
  <c r="AB162" i="5"/>
  <c r="Z162" i="5"/>
  <c r="I162" i="5"/>
  <c r="AL162" i="5" s="1"/>
  <c r="BJ161" i="5"/>
  <c r="BF161" i="5"/>
  <c r="BD161" i="5"/>
  <c r="AP161" i="5"/>
  <c r="BI161" i="5" s="1"/>
  <c r="AC161" i="5" s="1"/>
  <c r="AO161" i="5"/>
  <c r="AK161" i="5"/>
  <c r="AJ161" i="5"/>
  <c r="AH161" i="5"/>
  <c r="AG161" i="5"/>
  <c r="AF161" i="5"/>
  <c r="AE161" i="5"/>
  <c r="AD161" i="5"/>
  <c r="Z161" i="5"/>
  <c r="I161" i="5"/>
  <c r="AL161" i="5" s="1"/>
  <c r="BJ160" i="5"/>
  <c r="BF160" i="5"/>
  <c r="BD160" i="5"/>
  <c r="AX160" i="5"/>
  <c r="AW160" i="5"/>
  <c r="AP160" i="5"/>
  <c r="BI160" i="5" s="1"/>
  <c r="AO160" i="5"/>
  <c r="BH160" i="5" s="1"/>
  <c r="AB160" i="5" s="1"/>
  <c r="AK160" i="5"/>
  <c r="AJ160" i="5"/>
  <c r="AH160" i="5"/>
  <c r="AG160" i="5"/>
  <c r="AF160" i="5"/>
  <c r="AE160" i="5"/>
  <c r="AD160" i="5"/>
  <c r="AC160" i="5"/>
  <c r="Z160" i="5"/>
  <c r="I160" i="5"/>
  <c r="AL160" i="5" s="1"/>
  <c r="BJ159" i="5"/>
  <c r="BI159" i="5"/>
  <c r="BF159" i="5"/>
  <c r="BD159" i="5"/>
  <c r="AX159" i="5"/>
  <c r="AP159" i="5"/>
  <c r="AO159" i="5"/>
  <c r="BH159" i="5" s="1"/>
  <c r="AB159" i="5" s="1"/>
  <c r="AL159" i="5"/>
  <c r="AU157" i="5" s="1"/>
  <c r="AK159" i="5"/>
  <c r="AJ159" i="5"/>
  <c r="AH159" i="5"/>
  <c r="AG159" i="5"/>
  <c r="AF159" i="5"/>
  <c r="AE159" i="5"/>
  <c r="AD159" i="5"/>
  <c r="AC159" i="5"/>
  <c r="Z159" i="5"/>
  <c r="I159" i="5"/>
  <c r="BJ158" i="5"/>
  <c r="BI158" i="5"/>
  <c r="AC158" i="5" s="1"/>
  <c r="BH158" i="5"/>
  <c r="BF158" i="5"/>
  <c r="BD158" i="5"/>
  <c r="AW158" i="5"/>
  <c r="BC158" i="5" s="1"/>
  <c r="AV158" i="5"/>
  <c r="AP158" i="5"/>
  <c r="AX158" i="5" s="1"/>
  <c r="AO158" i="5"/>
  <c r="AL158" i="5"/>
  <c r="AK158" i="5"/>
  <c r="AT157" i="5" s="1"/>
  <c r="AJ158" i="5"/>
  <c r="AH158" i="5"/>
  <c r="AG158" i="5"/>
  <c r="AF158" i="5"/>
  <c r="AE158" i="5"/>
  <c r="AD158" i="5"/>
  <c r="AB158" i="5"/>
  <c r="Z158" i="5"/>
  <c r="I158" i="5"/>
  <c r="AS157" i="5"/>
  <c r="BJ156" i="5"/>
  <c r="BF156" i="5"/>
  <c r="BD156" i="5"/>
  <c r="AP156" i="5"/>
  <c r="BI156" i="5" s="1"/>
  <c r="AC156" i="5" s="1"/>
  <c r="AO156" i="5"/>
  <c r="AK156" i="5"/>
  <c r="AJ156" i="5"/>
  <c r="AH156" i="5"/>
  <c r="AG156" i="5"/>
  <c r="AF156" i="5"/>
  <c r="AE156" i="5"/>
  <c r="AD156" i="5"/>
  <c r="Z156" i="5"/>
  <c r="I156" i="5"/>
  <c r="AT155" i="5"/>
  <c r="AS155" i="5"/>
  <c r="BJ154" i="5"/>
  <c r="BH154" i="5"/>
  <c r="AB154" i="5" s="1"/>
  <c r="BF154" i="5"/>
  <c r="BD154" i="5"/>
  <c r="AX154" i="5"/>
  <c r="BC154" i="5" s="1"/>
  <c r="AW154" i="5"/>
  <c r="AP154" i="5"/>
  <c r="BI154" i="5" s="1"/>
  <c r="AC154" i="5" s="1"/>
  <c r="AO154" i="5"/>
  <c r="AK154" i="5"/>
  <c r="AJ154" i="5"/>
  <c r="AH154" i="5"/>
  <c r="AG154" i="5"/>
  <c r="AF154" i="5"/>
  <c r="AE154" i="5"/>
  <c r="AD154" i="5"/>
  <c r="Z154" i="5"/>
  <c r="I154" i="5"/>
  <c r="AL154" i="5" s="1"/>
  <c r="AU153" i="5" s="1"/>
  <c r="AT153" i="5"/>
  <c r="AS153" i="5"/>
  <c r="I153" i="5"/>
  <c r="BJ152" i="5"/>
  <c r="BH152" i="5"/>
  <c r="AB152" i="5" s="1"/>
  <c r="BF152" i="5"/>
  <c r="BD152" i="5"/>
  <c r="AP152" i="5"/>
  <c r="AX152" i="5" s="1"/>
  <c r="AO152" i="5"/>
  <c r="AW152" i="5" s="1"/>
  <c r="AL152" i="5"/>
  <c r="AK152" i="5"/>
  <c r="AJ152" i="5"/>
  <c r="AH152" i="5"/>
  <c r="AG152" i="5"/>
  <c r="AF152" i="5"/>
  <c r="AE152" i="5"/>
  <c r="AD152" i="5"/>
  <c r="Z152" i="5"/>
  <c r="I152" i="5"/>
  <c r="BJ151" i="5"/>
  <c r="BI151" i="5"/>
  <c r="AC151" i="5" s="1"/>
  <c r="BF151" i="5"/>
  <c r="BD151" i="5"/>
  <c r="BC151" i="5"/>
  <c r="AX151" i="5"/>
  <c r="AP151" i="5"/>
  <c r="AO151" i="5"/>
  <c r="AW151" i="5" s="1"/>
  <c r="AV151" i="5" s="1"/>
  <c r="AK151" i="5"/>
  <c r="AJ151" i="5"/>
  <c r="AH151" i="5"/>
  <c r="AG151" i="5"/>
  <c r="AF151" i="5"/>
  <c r="AE151" i="5"/>
  <c r="AD151" i="5"/>
  <c r="Z151" i="5"/>
  <c r="I151" i="5"/>
  <c r="AL151" i="5" s="1"/>
  <c r="BJ150" i="5"/>
  <c r="BI150" i="5"/>
  <c r="AC150" i="5" s="1"/>
  <c r="BH150" i="5"/>
  <c r="AB150" i="5" s="1"/>
  <c r="BF150" i="5"/>
  <c r="BD150" i="5"/>
  <c r="AX150" i="5"/>
  <c r="AV150" i="5" s="1"/>
  <c r="AW150" i="5"/>
  <c r="AP150" i="5"/>
  <c r="AO150" i="5"/>
  <c r="AL150" i="5"/>
  <c r="AK150" i="5"/>
  <c r="AJ150" i="5"/>
  <c r="AH150" i="5"/>
  <c r="AG150" i="5"/>
  <c r="AF150" i="5"/>
  <c r="AE150" i="5"/>
  <c r="AD150" i="5"/>
  <c r="Z150" i="5"/>
  <c r="I150" i="5"/>
  <c r="AS149" i="5"/>
  <c r="I149" i="5"/>
  <c r="BJ148" i="5"/>
  <c r="BI148" i="5"/>
  <c r="AC148" i="5" s="1"/>
  <c r="BH148" i="5"/>
  <c r="AB148" i="5" s="1"/>
  <c r="BF148" i="5"/>
  <c r="BD148" i="5"/>
  <c r="AP148" i="5"/>
  <c r="AX148" i="5" s="1"/>
  <c r="AO148" i="5"/>
  <c r="AW148" i="5" s="1"/>
  <c r="AK148" i="5"/>
  <c r="AJ148" i="5"/>
  <c r="AH148" i="5"/>
  <c r="AG148" i="5"/>
  <c r="AF148" i="5"/>
  <c r="AE148" i="5"/>
  <c r="AD148" i="5"/>
  <c r="Z148" i="5"/>
  <c r="I148" i="5"/>
  <c r="AL148" i="5" s="1"/>
  <c r="BJ147" i="5"/>
  <c r="BH147" i="5"/>
  <c r="AB147" i="5" s="1"/>
  <c r="BF147" i="5"/>
  <c r="BD147" i="5"/>
  <c r="AP147" i="5"/>
  <c r="AX147" i="5" s="1"/>
  <c r="AO147" i="5"/>
  <c r="AW147" i="5" s="1"/>
  <c r="AL147" i="5"/>
  <c r="AK147" i="5"/>
  <c r="AJ147" i="5"/>
  <c r="AH147" i="5"/>
  <c r="AG147" i="5"/>
  <c r="AF147" i="5"/>
  <c r="AE147" i="5"/>
  <c r="AD147" i="5"/>
  <c r="Z147" i="5"/>
  <c r="I147" i="5"/>
  <c r="BJ146" i="5"/>
  <c r="BI146" i="5"/>
  <c r="AC146" i="5" s="1"/>
  <c r="BF146" i="5"/>
  <c r="BD146" i="5"/>
  <c r="BC146" i="5"/>
  <c r="AX146" i="5"/>
  <c r="AP146" i="5"/>
  <c r="AO146" i="5"/>
  <c r="AW146" i="5" s="1"/>
  <c r="AV146" i="5" s="1"/>
  <c r="AK146" i="5"/>
  <c r="AJ146" i="5"/>
  <c r="AH146" i="5"/>
  <c r="AG146" i="5"/>
  <c r="AF146" i="5"/>
  <c r="AE146" i="5"/>
  <c r="AD146" i="5"/>
  <c r="Z146" i="5"/>
  <c r="I146" i="5"/>
  <c r="AL146" i="5" s="1"/>
  <c r="BJ145" i="5"/>
  <c r="BI145" i="5"/>
  <c r="AC145" i="5" s="1"/>
  <c r="BH145" i="5"/>
  <c r="AB145" i="5" s="1"/>
  <c r="BF145" i="5"/>
  <c r="BD145" i="5"/>
  <c r="AX145" i="5"/>
  <c r="BC145" i="5" s="1"/>
  <c r="AW145" i="5"/>
  <c r="AP145" i="5"/>
  <c r="AO145" i="5"/>
  <c r="AL145" i="5"/>
  <c r="AK145" i="5"/>
  <c r="AJ145" i="5"/>
  <c r="AS142" i="5" s="1"/>
  <c r="AH145" i="5"/>
  <c r="AG145" i="5"/>
  <c r="AF145" i="5"/>
  <c r="AE145" i="5"/>
  <c r="AD145" i="5"/>
  <c r="Z145" i="5"/>
  <c r="I145" i="5"/>
  <c r="BJ144" i="5"/>
  <c r="BH144" i="5"/>
  <c r="AB144" i="5" s="1"/>
  <c r="BF144" i="5"/>
  <c r="BD144" i="5"/>
  <c r="BC144" i="5"/>
  <c r="AX144" i="5"/>
  <c r="AW144" i="5"/>
  <c r="AV144" i="5" s="1"/>
  <c r="AP144" i="5"/>
  <c r="BI144" i="5" s="1"/>
  <c r="AO144" i="5"/>
  <c r="AK144" i="5"/>
  <c r="AJ144" i="5"/>
  <c r="AH144" i="5"/>
  <c r="AG144" i="5"/>
  <c r="AF144" i="5"/>
  <c r="AE144" i="5"/>
  <c r="AD144" i="5"/>
  <c r="AC144" i="5"/>
  <c r="Z144" i="5"/>
  <c r="I144" i="5"/>
  <c r="AL144" i="5" s="1"/>
  <c r="BJ143" i="5"/>
  <c r="BF143" i="5"/>
  <c r="BD143" i="5"/>
  <c r="AX143" i="5"/>
  <c r="AW143" i="5"/>
  <c r="AV143" i="5"/>
  <c r="AP143" i="5"/>
  <c r="BI143" i="5" s="1"/>
  <c r="AC143" i="5" s="1"/>
  <c r="AO143" i="5"/>
  <c r="BH143" i="5" s="1"/>
  <c r="AB143" i="5" s="1"/>
  <c r="AK143" i="5"/>
  <c r="AJ143" i="5"/>
  <c r="AH143" i="5"/>
  <c r="AG143" i="5"/>
  <c r="AF143" i="5"/>
  <c r="AE143" i="5"/>
  <c r="AD143" i="5"/>
  <c r="Z143" i="5"/>
  <c r="I143" i="5"/>
  <c r="AL143" i="5" s="1"/>
  <c r="BJ141" i="5"/>
  <c r="BI141" i="5"/>
  <c r="AC141" i="5" s="1"/>
  <c r="BF141" i="5"/>
  <c r="BD141" i="5"/>
  <c r="AX141" i="5"/>
  <c r="AP141" i="5"/>
  <c r="AO141" i="5"/>
  <c r="AW141" i="5" s="1"/>
  <c r="AV141" i="5" s="1"/>
  <c r="AK141" i="5"/>
  <c r="AT139" i="5" s="1"/>
  <c r="AJ141" i="5"/>
  <c r="AH141" i="5"/>
  <c r="AG141" i="5"/>
  <c r="AF141" i="5"/>
  <c r="AE141" i="5"/>
  <c r="AD141" i="5"/>
  <c r="Z141" i="5"/>
  <c r="I141" i="5"/>
  <c r="AL141" i="5" s="1"/>
  <c r="AU139" i="5" s="1"/>
  <c r="BJ140" i="5"/>
  <c r="BI140" i="5"/>
  <c r="AC140" i="5" s="1"/>
  <c r="BH140" i="5"/>
  <c r="AB140" i="5" s="1"/>
  <c r="BF140" i="5"/>
  <c r="BD140" i="5"/>
  <c r="BC140" i="5"/>
  <c r="AX140" i="5"/>
  <c r="AW140" i="5"/>
  <c r="AV140" i="5" s="1"/>
  <c r="AP140" i="5"/>
  <c r="AO140" i="5"/>
  <c r="AL140" i="5"/>
  <c r="AK140" i="5"/>
  <c r="AJ140" i="5"/>
  <c r="AH140" i="5"/>
  <c r="AG140" i="5"/>
  <c r="AF140" i="5"/>
  <c r="AE140" i="5"/>
  <c r="AD140" i="5"/>
  <c r="Z140" i="5"/>
  <c r="I140" i="5"/>
  <c r="AS139" i="5"/>
  <c r="I139" i="5"/>
  <c r="L38" i="1" s="1"/>
  <c r="BJ138" i="5"/>
  <c r="BI138" i="5"/>
  <c r="AC138" i="5" s="1"/>
  <c r="BF138" i="5"/>
  <c r="BD138" i="5"/>
  <c r="AP138" i="5"/>
  <c r="AX138" i="5" s="1"/>
  <c r="AO138" i="5"/>
  <c r="AW138" i="5" s="1"/>
  <c r="AL138" i="5"/>
  <c r="AU137" i="5" s="1"/>
  <c r="AK138" i="5"/>
  <c r="AJ138" i="5"/>
  <c r="AS137" i="5" s="1"/>
  <c r="AH138" i="5"/>
  <c r="AG138" i="5"/>
  <c r="AF138" i="5"/>
  <c r="AE138" i="5"/>
  <c r="AD138" i="5"/>
  <c r="Z138" i="5"/>
  <c r="I138" i="5"/>
  <c r="AT137" i="5"/>
  <c r="I137" i="5"/>
  <c r="BJ136" i="5"/>
  <c r="BI136" i="5"/>
  <c r="BF136" i="5"/>
  <c r="BD136" i="5"/>
  <c r="AP136" i="5"/>
  <c r="AX136" i="5" s="1"/>
  <c r="AO136" i="5"/>
  <c r="BH136" i="5" s="1"/>
  <c r="AL136" i="5"/>
  <c r="AK136" i="5"/>
  <c r="AJ136" i="5"/>
  <c r="AH136" i="5"/>
  <c r="AG136" i="5"/>
  <c r="AF136" i="5"/>
  <c r="AE136" i="5"/>
  <c r="AD136" i="5"/>
  <c r="AC136" i="5"/>
  <c r="AB136" i="5"/>
  <c r="Z136" i="5"/>
  <c r="I136" i="5"/>
  <c r="BJ135" i="5"/>
  <c r="BH135" i="5"/>
  <c r="BF135" i="5"/>
  <c r="BD135" i="5"/>
  <c r="AP135" i="5"/>
  <c r="AO135" i="5"/>
  <c r="AW135" i="5" s="1"/>
  <c r="AL135" i="5"/>
  <c r="AK135" i="5"/>
  <c r="AJ135" i="5"/>
  <c r="AH135" i="5"/>
  <c r="AG135" i="5"/>
  <c r="AF135" i="5"/>
  <c r="AE135" i="5"/>
  <c r="AD135" i="5"/>
  <c r="AB135" i="5"/>
  <c r="Z135" i="5"/>
  <c r="I135" i="5"/>
  <c r="BJ134" i="5"/>
  <c r="BF134" i="5"/>
  <c r="BD134" i="5"/>
  <c r="AP134" i="5"/>
  <c r="AX134" i="5" s="1"/>
  <c r="AO134" i="5"/>
  <c r="AW134" i="5" s="1"/>
  <c r="AK134" i="5"/>
  <c r="AJ134" i="5"/>
  <c r="AH134" i="5"/>
  <c r="AG134" i="5"/>
  <c r="AF134" i="5"/>
  <c r="AE134" i="5"/>
  <c r="AD134" i="5"/>
  <c r="Z134" i="5"/>
  <c r="I134" i="5"/>
  <c r="AL134" i="5" s="1"/>
  <c r="BJ133" i="5"/>
  <c r="BI133" i="5"/>
  <c r="AC133" i="5" s="1"/>
  <c r="BF133" i="5"/>
  <c r="BD133" i="5"/>
  <c r="AP133" i="5"/>
  <c r="AX133" i="5" s="1"/>
  <c r="AO133" i="5"/>
  <c r="AW133" i="5" s="1"/>
  <c r="AL133" i="5"/>
  <c r="AK133" i="5"/>
  <c r="AJ133" i="5"/>
  <c r="AH133" i="5"/>
  <c r="AG133" i="5"/>
  <c r="AF133" i="5"/>
  <c r="AE133" i="5"/>
  <c r="AD133" i="5"/>
  <c r="Z133" i="5"/>
  <c r="I133" i="5"/>
  <c r="BJ132" i="5"/>
  <c r="BH132" i="5"/>
  <c r="AB132" i="5" s="1"/>
  <c r="BF132" i="5"/>
  <c r="BD132" i="5"/>
  <c r="AX132" i="5"/>
  <c r="AP132" i="5"/>
  <c r="BI132" i="5" s="1"/>
  <c r="AC132" i="5" s="1"/>
  <c r="AO132" i="5"/>
  <c r="AW132" i="5" s="1"/>
  <c r="AL132" i="5"/>
  <c r="AK132" i="5"/>
  <c r="AJ132" i="5"/>
  <c r="AH132" i="5"/>
  <c r="AG132" i="5"/>
  <c r="AF132" i="5"/>
  <c r="AE132" i="5"/>
  <c r="AD132" i="5"/>
  <c r="Z132" i="5"/>
  <c r="I132" i="5"/>
  <c r="BJ131" i="5"/>
  <c r="BI131" i="5"/>
  <c r="AC131" i="5" s="1"/>
  <c r="BF131" i="5"/>
  <c r="BD131" i="5"/>
  <c r="AX131" i="5"/>
  <c r="AP131" i="5"/>
  <c r="AO131" i="5"/>
  <c r="AW131" i="5" s="1"/>
  <c r="AK131" i="5"/>
  <c r="AJ131" i="5"/>
  <c r="AH131" i="5"/>
  <c r="AG131" i="5"/>
  <c r="AF131" i="5"/>
  <c r="AE131" i="5"/>
  <c r="AD131" i="5"/>
  <c r="Z131" i="5"/>
  <c r="I131" i="5"/>
  <c r="AL131" i="5" s="1"/>
  <c r="BJ130" i="5"/>
  <c r="BI130" i="5"/>
  <c r="AC130" i="5" s="1"/>
  <c r="BH130" i="5"/>
  <c r="AB130" i="5" s="1"/>
  <c r="BF130" i="5"/>
  <c r="BD130" i="5"/>
  <c r="AX130" i="5"/>
  <c r="BC130" i="5" s="1"/>
  <c r="AW130" i="5"/>
  <c r="AV130" i="5" s="1"/>
  <c r="AP130" i="5"/>
  <c r="AO130" i="5"/>
  <c r="AL130" i="5"/>
  <c r="AK130" i="5"/>
  <c r="AJ130" i="5"/>
  <c r="AS127" i="5" s="1"/>
  <c r="AH130" i="5"/>
  <c r="AG130" i="5"/>
  <c r="AF130" i="5"/>
  <c r="AE130" i="5"/>
  <c r="AD130" i="5"/>
  <c r="Z130" i="5"/>
  <c r="I130" i="5"/>
  <c r="BJ129" i="5"/>
  <c r="BH129" i="5"/>
  <c r="AB129" i="5" s="1"/>
  <c r="BF129" i="5"/>
  <c r="BD129" i="5"/>
  <c r="AX129" i="5"/>
  <c r="AW129" i="5"/>
  <c r="AV129" i="5" s="1"/>
  <c r="AP129" i="5"/>
  <c r="BI129" i="5" s="1"/>
  <c r="AO129" i="5"/>
  <c r="AL129" i="5"/>
  <c r="AK129" i="5"/>
  <c r="AJ129" i="5"/>
  <c r="AH129" i="5"/>
  <c r="AG129" i="5"/>
  <c r="AF129" i="5"/>
  <c r="AE129" i="5"/>
  <c r="AD129" i="5"/>
  <c r="AC129" i="5"/>
  <c r="Z129" i="5"/>
  <c r="I129" i="5"/>
  <c r="BJ128" i="5"/>
  <c r="BF128" i="5"/>
  <c r="BD128" i="5"/>
  <c r="AX128" i="5"/>
  <c r="AW128" i="5"/>
  <c r="BC128" i="5" s="1"/>
  <c r="AP128" i="5"/>
  <c r="BI128" i="5" s="1"/>
  <c r="AC128" i="5" s="1"/>
  <c r="AO128" i="5"/>
  <c r="BH128" i="5" s="1"/>
  <c r="AK128" i="5"/>
  <c r="AJ128" i="5"/>
  <c r="AH128" i="5"/>
  <c r="AG128" i="5"/>
  <c r="AF128" i="5"/>
  <c r="AE128" i="5"/>
  <c r="AD128" i="5"/>
  <c r="AB128" i="5"/>
  <c r="Z128" i="5"/>
  <c r="I128" i="5"/>
  <c r="AL128" i="5" s="1"/>
  <c r="BJ126" i="5"/>
  <c r="BI126" i="5"/>
  <c r="AC126" i="5" s="1"/>
  <c r="BF126" i="5"/>
  <c r="BD126" i="5"/>
  <c r="BC126" i="5"/>
  <c r="AX126" i="5"/>
  <c r="AW126" i="5"/>
  <c r="AV126" i="5" s="1"/>
  <c r="AP126" i="5"/>
  <c r="AO126" i="5"/>
  <c r="BH126" i="5" s="1"/>
  <c r="AB126" i="5" s="1"/>
  <c r="AK126" i="5"/>
  <c r="AJ126" i="5"/>
  <c r="AH126" i="5"/>
  <c r="AG126" i="5"/>
  <c r="AF126" i="5"/>
  <c r="AE126" i="5"/>
  <c r="AD126" i="5"/>
  <c r="Z126" i="5"/>
  <c r="I126" i="5"/>
  <c r="AL126" i="5" s="1"/>
  <c r="BJ125" i="5"/>
  <c r="BI125" i="5"/>
  <c r="AC125" i="5" s="1"/>
  <c r="BH125" i="5"/>
  <c r="AB125" i="5" s="1"/>
  <c r="BF125" i="5"/>
  <c r="BD125" i="5"/>
  <c r="BC125" i="5"/>
  <c r="AX125" i="5"/>
  <c r="AV125" i="5" s="1"/>
  <c r="AW125" i="5"/>
  <c r="AP125" i="5"/>
  <c r="AO125" i="5"/>
  <c r="AL125" i="5"/>
  <c r="AK125" i="5"/>
  <c r="AJ125" i="5"/>
  <c r="AS122" i="5" s="1"/>
  <c r="AH125" i="5"/>
  <c r="AG125" i="5"/>
  <c r="AF125" i="5"/>
  <c r="AE125" i="5"/>
  <c r="AD125" i="5"/>
  <c r="Z125" i="5"/>
  <c r="I125" i="5"/>
  <c r="BJ124" i="5"/>
  <c r="BH124" i="5"/>
  <c r="AB124" i="5" s="1"/>
  <c r="BF124" i="5"/>
  <c r="BD124" i="5"/>
  <c r="AX124" i="5"/>
  <c r="AW124" i="5"/>
  <c r="AV124" i="5" s="1"/>
  <c r="AP124" i="5"/>
  <c r="BI124" i="5" s="1"/>
  <c r="AC124" i="5" s="1"/>
  <c r="AO124" i="5"/>
  <c r="AL124" i="5"/>
  <c r="AK124" i="5"/>
  <c r="AJ124" i="5"/>
  <c r="AH124" i="5"/>
  <c r="AG124" i="5"/>
  <c r="AF124" i="5"/>
  <c r="AE124" i="5"/>
  <c r="AD124" i="5"/>
  <c r="Z124" i="5"/>
  <c r="I124" i="5"/>
  <c r="BJ123" i="5"/>
  <c r="BF123" i="5"/>
  <c r="BD123" i="5"/>
  <c r="AX123" i="5"/>
  <c r="AW123" i="5"/>
  <c r="AV123" i="5"/>
  <c r="AP123" i="5"/>
  <c r="BI123" i="5" s="1"/>
  <c r="AO123" i="5"/>
  <c r="BH123" i="5" s="1"/>
  <c r="AB123" i="5" s="1"/>
  <c r="AK123" i="5"/>
  <c r="AJ123" i="5"/>
  <c r="AH123" i="5"/>
  <c r="AG123" i="5"/>
  <c r="AF123" i="5"/>
  <c r="AE123" i="5"/>
  <c r="AD123" i="5"/>
  <c r="AC123" i="5"/>
  <c r="Z123" i="5"/>
  <c r="I123" i="5"/>
  <c r="AL123" i="5" s="1"/>
  <c r="BJ121" i="5"/>
  <c r="BI121" i="5"/>
  <c r="AC121" i="5" s="1"/>
  <c r="BF121" i="5"/>
  <c r="BD121" i="5"/>
  <c r="BC121" i="5"/>
  <c r="AX121" i="5"/>
  <c r="AW121" i="5"/>
  <c r="AV121" i="5" s="1"/>
  <c r="AP121" i="5"/>
  <c r="AO121" i="5"/>
  <c r="BH121" i="5" s="1"/>
  <c r="AB121" i="5" s="1"/>
  <c r="AK121" i="5"/>
  <c r="AJ121" i="5"/>
  <c r="AH121" i="5"/>
  <c r="AG121" i="5"/>
  <c r="AF121" i="5"/>
  <c r="AE121" i="5"/>
  <c r="AD121" i="5"/>
  <c r="Z121" i="5"/>
  <c r="I121" i="5"/>
  <c r="AL121" i="5" s="1"/>
  <c r="BJ120" i="5"/>
  <c r="BI120" i="5"/>
  <c r="AC120" i="5" s="1"/>
  <c r="BH120" i="5"/>
  <c r="AB120" i="5" s="1"/>
  <c r="BF120" i="5"/>
  <c r="BD120" i="5"/>
  <c r="AX120" i="5"/>
  <c r="BC120" i="5" s="1"/>
  <c r="AW120" i="5"/>
  <c r="AV120" i="5" s="1"/>
  <c r="AP120" i="5"/>
  <c r="AO120" i="5"/>
  <c r="AL120" i="5"/>
  <c r="AK120" i="5"/>
  <c r="AJ120" i="5"/>
  <c r="AH120" i="5"/>
  <c r="AG120" i="5"/>
  <c r="AF120" i="5"/>
  <c r="AE120" i="5"/>
  <c r="AD120" i="5"/>
  <c r="Z120" i="5"/>
  <c r="I120" i="5"/>
  <c r="BJ119" i="5"/>
  <c r="BH119" i="5"/>
  <c r="BF119" i="5"/>
  <c r="BD119" i="5"/>
  <c r="AX119" i="5"/>
  <c r="BC119" i="5" s="1"/>
  <c r="AW119" i="5"/>
  <c r="AV119" i="5"/>
  <c r="AP119" i="5"/>
  <c r="BI119" i="5" s="1"/>
  <c r="AO119" i="5"/>
  <c r="AK119" i="5"/>
  <c r="AJ119" i="5"/>
  <c r="AH119" i="5"/>
  <c r="AG119" i="5"/>
  <c r="AF119" i="5"/>
  <c r="AE119" i="5"/>
  <c r="AD119" i="5"/>
  <c r="AC119" i="5"/>
  <c r="AB119" i="5"/>
  <c r="Z119" i="5"/>
  <c r="I119" i="5"/>
  <c r="AL119" i="5" s="1"/>
  <c r="BJ118" i="5"/>
  <c r="BF118" i="5"/>
  <c r="BD118" i="5"/>
  <c r="AP118" i="5"/>
  <c r="BI118" i="5" s="1"/>
  <c r="AC118" i="5" s="1"/>
  <c r="AO118" i="5"/>
  <c r="AK118" i="5"/>
  <c r="AJ118" i="5"/>
  <c r="AH118" i="5"/>
  <c r="AG118" i="5"/>
  <c r="AF118" i="5"/>
  <c r="AE118" i="5"/>
  <c r="AD118" i="5"/>
  <c r="Z118" i="5"/>
  <c r="I118" i="5"/>
  <c r="AL118" i="5" s="1"/>
  <c r="BJ117" i="5"/>
  <c r="BH117" i="5"/>
  <c r="AB117" i="5" s="1"/>
  <c r="BF117" i="5"/>
  <c r="BD117" i="5"/>
  <c r="AP117" i="5"/>
  <c r="AO117" i="5"/>
  <c r="AW117" i="5" s="1"/>
  <c r="AK117" i="5"/>
  <c r="AJ117" i="5"/>
  <c r="AH117" i="5"/>
  <c r="AG117" i="5"/>
  <c r="AF117" i="5"/>
  <c r="AE117" i="5"/>
  <c r="AD117" i="5"/>
  <c r="Z117" i="5"/>
  <c r="I117" i="5"/>
  <c r="AL117" i="5" s="1"/>
  <c r="BJ116" i="5"/>
  <c r="BF116" i="5"/>
  <c r="BD116" i="5"/>
  <c r="AX116" i="5"/>
  <c r="AP116" i="5"/>
  <c r="BI116" i="5" s="1"/>
  <c r="AC116" i="5" s="1"/>
  <c r="AO116" i="5"/>
  <c r="AL116" i="5"/>
  <c r="AK116" i="5"/>
  <c r="AJ116" i="5"/>
  <c r="AH116" i="5"/>
  <c r="AG116" i="5"/>
  <c r="AF116" i="5"/>
  <c r="AE116" i="5"/>
  <c r="AD116" i="5"/>
  <c r="Z116" i="5"/>
  <c r="I116" i="5"/>
  <c r="BJ115" i="5"/>
  <c r="BF115" i="5"/>
  <c r="BD115" i="5"/>
  <c r="AP115" i="5"/>
  <c r="AO115" i="5"/>
  <c r="BH115" i="5" s="1"/>
  <c r="AB115" i="5" s="1"/>
  <c r="AL115" i="5"/>
  <c r="AK115" i="5"/>
  <c r="AJ115" i="5"/>
  <c r="AH115" i="5"/>
  <c r="AG115" i="5"/>
  <c r="AF115" i="5"/>
  <c r="AE115" i="5"/>
  <c r="AD115" i="5"/>
  <c r="Z115" i="5"/>
  <c r="I115" i="5"/>
  <c r="BJ114" i="5"/>
  <c r="BI114" i="5"/>
  <c r="AC114" i="5" s="1"/>
  <c r="BH114" i="5"/>
  <c r="AB114" i="5" s="1"/>
  <c r="BF114" i="5"/>
  <c r="BD114" i="5"/>
  <c r="AP114" i="5"/>
  <c r="AX114" i="5" s="1"/>
  <c r="AO114" i="5"/>
  <c r="AW114" i="5" s="1"/>
  <c r="AK114" i="5"/>
  <c r="AJ114" i="5"/>
  <c r="AH114" i="5"/>
  <c r="AG114" i="5"/>
  <c r="AF114" i="5"/>
  <c r="AE114" i="5"/>
  <c r="AD114" i="5"/>
  <c r="Z114" i="5"/>
  <c r="I114" i="5"/>
  <c r="AL114" i="5" s="1"/>
  <c r="BJ113" i="5"/>
  <c r="BI113" i="5"/>
  <c r="AC113" i="5" s="1"/>
  <c r="BH113" i="5"/>
  <c r="BF113" i="5"/>
  <c r="BD113" i="5"/>
  <c r="AX113" i="5"/>
  <c r="AP113" i="5"/>
  <c r="AO113" i="5"/>
  <c r="AW113" i="5" s="1"/>
  <c r="AL113" i="5"/>
  <c r="AK113" i="5"/>
  <c r="AJ113" i="5"/>
  <c r="AH113" i="5"/>
  <c r="AG113" i="5"/>
  <c r="AF113" i="5"/>
  <c r="AE113" i="5"/>
  <c r="AD113" i="5"/>
  <c r="AB113" i="5"/>
  <c r="Z113" i="5"/>
  <c r="I113" i="5"/>
  <c r="BJ112" i="5"/>
  <c r="BF112" i="5"/>
  <c r="BD112" i="5"/>
  <c r="AX112" i="5"/>
  <c r="AW112" i="5"/>
  <c r="AP112" i="5"/>
  <c r="BI112" i="5" s="1"/>
  <c r="AO112" i="5"/>
  <c r="BH112" i="5" s="1"/>
  <c r="AB112" i="5" s="1"/>
  <c r="AL112" i="5"/>
  <c r="AK112" i="5"/>
  <c r="AJ112" i="5"/>
  <c r="AH112" i="5"/>
  <c r="AG112" i="5"/>
  <c r="AF112" i="5"/>
  <c r="AE112" i="5"/>
  <c r="AD112" i="5"/>
  <c r="AC112" i="5"/>
  <c r="Z112" i="5"/>
  <c r="I112" i="5"/>
  <c r="BJ111" i="5"/>
  <c r="BI111" i="5"/>
  <c r="AC111" i="5" s="1"/>
  <c r="BF111" i="5"/>
  <c r="BD111" i="5"/>
  <c r="AP111" i="5"/>
  <c r="AX111" i="5" s="1"/>
  <c r="AO111" i="5"/>
  <c r="BH111" i="5" s="1"/>
  <c r="AB111" i="5" s="1"/>
  <c r="AL111" i="5"/>
  <c r="AK111" i="5"/>
  <c r="AJ111" i="5"/>
  <c r="AS109" i="5" s="1"/>
  <c r="AH111" i="5"/>
  <c r="AG111" i="5"/>
  <c r="AF111" i="5"/>
  <c r="AE111" i="5"/>
  <c r="AD111" i="5"/>
  <c r="Z111" i="5"/>
  <c r="I111" i="5"/>
  <c r="BJ110" i="5"/>
  <c r="BI110" i="5"/>
  <c r="AC110" i="5" s="1"/>
  <c r="BH110" i="5"/>
  <c r="AB110" i="5" s="1"/>
  <c r="BF110" i="5"/>
  <c r="BD110" i="5"/>
  <c r="AX110" i="5"/>
  <c r="AP110" i="5"/>
  <c r="AO110" i="5"/>
  <c r="AW110" i="5" s="1"/>
  <c r="AK110" i="5"/>
  <c r="AJ110" i="5"/>
  <c r="AH110" i="5"/>
  <c r="AG110" i="5"/>
  <c r="AF110" i="5"/>
  <c r="AE110" i="5"/>
  <c r="AD110" i="5"/>
  <c r="Z110" i="5"/>
  <c r="I110" i="5"/>
  <c r="AL110" i="5" s="1"/>
  <c r="AT109" i="5"/>
  <c r="I109" i="5"/>
  <c r="L34" i="1" s="1"/>
  <c r="N34" i="1" s="1"/>
  <c r="BJ108" i="5"/>
  <c r="BF108" i="5"/>
  <c r="BD108" i="5"/>
  <c r="AW108" i="5"/>
  <c r="AP108" i="5"/>
  <c r="AO108" i="5"/>
  <c r="BH108" i="5" s="1"/>
  <c r="AB108" i="5" s="1"/>
  <c r="AL108" i="5"/>
  <c r="AK108" i="5"/>
  <c r="AJ108" i="5"/>
  <c r="AH108" i="5"/>
  <c r="AG108" i="5"/>
  <c r="AF108" i="5"/>
  <c r="AE108" i="5"/>
  <c r="AD108" i="5"/>
  <c r="Z108" i="5"/>
  <c r="I108" i="5"/>
  <c r="BJ107" i="5"/>
  <c r="BF107" i="5"/>
  <c r="BD107" i="5"/>
  <c r="AP107" i="5"/>
  <c r="BI107" i="5" s="1"/>
  <c r="AC107" i="5" s="1"/>
  <c r="AO107" i="5"/>
  <c r="AK107" i="5"/>
  <c r="AT105" i="5" s="1"/>
  <c r="AJ107" i="5"/>
  <c r="AH107" i="5"/>
  <c r="AG107" i="5"/>
  <c r="AF107" i="5"/>
  <c r="AE107" i="5"/>
  <c r="AD107" i="5"/>
  <c r="Z107" i="5"/>
  <c r="I107" i="5"/>
  <c r="AL107" i="5" s="1"/>
  <c r="BJ106" i="5"/>
  <c r="BI106" i="5"/>
  <c r="AC106" i="5" s="1"/>
  <c r="BF106" i="5"/>
  <c r="BD106" i="5"/>
  <c r="AP106" i="5"/>
  <c r="AX106" i="5" s="1"/>
  <c r="AO106" i="5"/>
  <c r="BH106" i="5" s="1"/>
  <c r="AB106" i="5" s="1"/>
  <c r="AL106" i="5"/>
  <c r="AU105" i="5" s="1"/>
  <c r="AK106" i="5"/>
  <c r="AJ106" i="5"/>
  <c r="AH106" i="5"/>
  <c r="AG106" i="5"/>
  <c r="AF106" i="5"/>
  <c r="AE106" i="5"/>
  <c r="AD106" i="5"/>
  <c r="Z106" i="5"/>
  <c r="I106" i="5"/>
  <c r="AS105" i="5"/>
  <c r="BJ104" i="5"/>
  <c r="BF104" i="5"/>
  <c r="BD104" i="5"/>
  <c r="AX104" i="5"/>
  <c r="AP104" i="5"/>
  <c r="BI104" i="5" s="1"/>
  <c r="AC104" i="5" s="1"/>
  <c r="AO104" i="5"/>
  <c r="AK104" i="5"/>
  <c r="AJ104" i="5"/>
  <c r="AH104" i="5"/>
  <c r="AG104" i="5"/>
  <c r="AF104" i="5"/>
  <c r="AE104" i="5"/>
  <c r="AD104" i="5"/>
  <c r="Z104" i="5"/>
  <c r="I104" i="5"/>
  <c r="AL104" i="5" s="1"/>
  <c r="BJ103" i="5"/>
  <c r="BF103" i="5"/>
  <c r="BD103" i="5"/>
  <c r="AW103" i="5"/>
  <c r="AP103" i="5"/>
  <c r="AO103" i="5"/>
  <c r="BH103" i="5" s="1"/>
  <c r="AB103" i="5" s="1"/>
  <c r="AL103" i="5"/>
  <c r="AK103" i="5"/>
  <c r="AJ103" i="5"/>
  <c r="AH103" i="5"/>
  <c r="AG103" i="5"/>
  <c r="AF103" i="5"/>
  <c r="AE103" i="5"/>
  <c r="AD103" i="5"/>
  <c r="Z103" i="5"/>
  <c r="I103" i="5"/>
  <c r="BJ102" i="5"/>
  <c r="BF102" i="5"/>
  <c r="BD102" i="5"/>
  <c r="AP102" i="5"/>
  <c r="BI102" i="5" s="1"/>
  <c r="AC102" i="5" s="1"/>
  <c r="AO102" i="5"/>
  <c r="AK102" i="5"/>
  <c r="AJ102" i="5"/>
  <c r="AH102" i="5"/>
  <c r="AG102" i="5"/>
  <c r="AF102" i="5"/>
  <c r="AE102" i="5"/>
  <c r="AD102" i="5"/>
  <c r="Z102" i="5"/>
  <c r="I102" i="5"/>
  <c r="AL102" i="5" s="1"/>
  <c r="BJ101" i="5"/>
  <c r="BF101" i="5"/>
  <c r="BD101" i="5"/>
  <c r="AP101" i="5"/>
  <c r="AX101" i="5" s="1"/>
  <c r="AO101" i="5"/>
  <c r="BH101" i="5" s="1"/>
  <c r="AB101" i="5" s="1"/>
  <c r="AL101" i="5"/>
  <c r="AK101" i="5"/>
  <c r="AJ101" i="5"/>
  <c r="AS99" i="5" s="1"/>
  <c r="AH101" i="5"/>
  <c r="AG101" i="5"/>
  <c r="AF101" i="5"/>
  <c r="AE101" i="5"/>
  <c r="AD101" i="5"/>
  <c r="Z101" i="5"/>
  <c r="I101" i="5"/>
  <c r="BJ100" i="5"/>
  <c r="BI100" i="5"/>
  <c r="AC100" i="5" s="1"/>
  <c r="BH100" i="5"/>
  <c r="AB100" i="5" s="1"/>
  <c r="BF100" i="5"/>
  <c r="BD100" i="5"/>
  <c r="AX100" i="5"/>
  <c r="AP100" i="5"/>
  <c r="AO100" i="5"/>
  <c r="AW100" i="5" s="1"/>
  <c r="AK100" i="5"/>
  <c r="AJ100" i="5"/>
  <c r="AH100" i="5"/>
  <c r="AG100" i="5"/>
  <c r="AF100" i="5"/>
  <c r="AE100" i="5"/>
  <c r="AD100" i="5"/>
  <c r="Z100" i="5"/>
  <c r="I100" i="5"/>
  <c r="AL100" i="5" s="1"/>
  <c r="AT99" i="5"/>
  <c r="I99" i="5"/>
  <c r="BJ97" i="5"/>
  <c r="BF97" i="5"/>
  <c r="BD97" i="5"/>
  <c r="AX97" i="5"/>
  <c r="AP97" i="5"/>
  <c r="BI97" i="5" s="1"/>
  <c r="AC97" i="5" s="1"/>
  <c r="AO97" i="5"/>
  <c r="AK97" i="5"/>
  <c r="AJ97" i="5"/>
  <c r="AH97" i="5"/>
  <c r="AG97" i="5"/>
  <c r="AF97" i="5"/>
  <c r="AE97" i="5"/>
  <c r="AD97" i="5"/>
  <c r="Z97" i="5"/>
  <c r="I97" i="5"/>
  <c r="AL97" i="5" s="1"/>
  <c r="BJ96" i="5"/>
  <c r="BI96" i="5"/>
  <c r="AC96" i="5" s="1"/>
  <c r="BF96" i="5"/>
  <c r="BD96" i="5"/>
  <c r="AW96" i="5"/>
  <c r="AP96" i="5"/>
  <c r="AX96" i="5" s="1"/>
  <c r="AO96" i="5"/>
  <c r="BH96" i="5" s="1"/>
  <c r="AB96" i="5" s="1"/>
  <c r="AL96" i="5"/>
  <c r="AK96" i="5"/>
  <c r="AJ96" i="5"/>
  <c r="AH96" i="5"/>
  <c r="AG96" i="5"/>
  <c r="AF96" i="5"/>
  <c r="AE96" i="5"/>
  <c r="AD96" i="5"/>
  <c r="Z96" i="5"/>
  <c r="I96" i="5"/>
  <c r="BJ95" i="5"/>
  <c r="BI95" i="5"/>
  <c r="AC95" i="5" s="1"/>
  <c r="BF95" i="5"/>
  <c r="BD95" i="5"/>
  <c r="AP95" i="5"/>
  <c r="AX95" i="5" s="1"/>
  <c r="AO95" i="5"/>
  <c r="AW95" i="5" s="1"/>
  <c r="BC95" i="5" s="1"/>
  <c r="AK95" i="5"/>
  <c r="AT93" i="5" s="1"/>
  <c r="AJ95" i="5"/>
  <c r="AH95" i="5"/>
  <c r="AG95" i="5"/>
  <c r="AF95" i="5"/>
  <c r="AE95" i="5"/>
  <c r="AD95" i="5"/>
  <c r="Z95" i="5"/>
  <c r="I95" i="5"/>
  <c r="AL95" i="5" s="1"/>
  <c r="AU93" i="5" s="1"/>
  <c r="BJ94" i="5"/>
  <c r="BI94" i="5"/>
  <c r="AC94" i="5" s="1"/>
  <c r="BH94" i="5"/>
  <c r="AB94" i="5" s="1"/>
  <c r="BF94" i="5"/>
  <c r="BD94" i="5"/>
  <c r="AP94" i="5"/>
  <c r="AX94" i="5" s="1"/>
  <c r="AO94" i="5"/>
  <c r="AW94" i="5" s="1"/>
  <c r="AL94" i="5"/>
  <c r="AK94" i="5"/>
  <c r="AJ94" i="5"/>
  <c r="AH94" i="5"/>
  <c r="AG94" i="5"/>
  <c r="AF94" i="5"/>
  <c r="AE94" i="5"/>
  <c r="AD94" i="5"/>
  <c r="Z94" i="5"/>
  <c r="I94" i="5"/>
  <c r="AS93" i="5"/>
  <c r="BJ92" i="5"/>
  <c r="BF92" i="5"/>
  <c r="BD92" i="5"/>
  <c r="AX92" i="5"/>
  <c r="AP92" i="5"/>
  <c r="BI92" i="5" s="1"/>
  <c r="AC92" i="5" s="1"/>
  <c r="AO92" i="5"/>
  <c r="AK92" i="5"/>
  <c r="AT91" i="5" s="1"/>
  <c r="AJ92" i="5"/>
  <c r="AH92" i="5"/>
  <c r="AG92" i="5"/>
  <c r="AF92" i="5"/>
  <c r="AE92" i="5"/>
  <c r="AD92" i="5"/>
  <c r="Z92" i="5"/>
  <c r="I92" i="5"/>
  <c r="I91" i="5" s="1"/>
  <c r="L29" i="1" s="1"/>
  <c r="N29" i="1" s="1"/>
  <c r="AS91" i="5"/>
  <c r="BJ90" i="5"/>
  <c r="BF90" i="5"/>
  <c r="BD90" i="5"/>
  <c r="AW90" i="5"/>
  <c r="AP90" i="5"/>
  <c r="AO90" i="5"/>
  <c r="BH90" i="5" s="1"/>
  <c r="AB90" i="5" s="1"/>
  <c r="AK90" i="5"/>
  <c r="AJ90" i="5"/>
  <c r="AH90" i="5"/>
  <c r="AG90" i="5"/>
  <c r="AF90" i="5"/>
  <c r="AE90" i="5"/>
  <c r="AD90" i="5"/>
  <c r="Z90" i="5"/>
  <c r="I90" i="5"/>
  <c r="AL90" i="5" s="1"/>
  <c r="BJ89" i="5"/>
  <c r="BF89" i="5"/>
  <c r="BD89" i="5"/>
  <c r="AP89" i="5"/>
  <c r="BI89" i="5" s="1"/>
  <c r="AC89" i="5" s="1"/>
  <c r="AO89" i="5"/>
  <c r="AK89" i="5"/>
  <c r="AJ89" i="5"/>
  <c r="AH89" i="5"/>
  <c r="AG89" i="5"/>
  <c r="AF89" i="5"/>
  <c r="AE89" i="5"/>
  <c r="AD89" i="5"/>
  <c r="Z89" i="5"/>
  <c r="I89" i="5"/>
  <c r="AL89" i="5" s="1"/>
  <c r="BJ88" i="5"/>
  <c r="BF88" i="5"/>
  <c r="BD88" i="5"/>
  <c r="AP88" i="5"/>
  <c r="AO88" i="5"/>
  <c r="BH88" i="5" s="1"/>
  <c r="AB88" i="5" s="1"/>
  <c r="AL88" i="5"/>
  <c r="AK88" i="5"/>
  <c r="AJ88" i="5"/>
  <c r="AH88" i="5"/>
  <c r="AG88" i="5"/>
  <c r="AF88" i="5"/>
  <c r="AE88" i="5"/>
  <c r="AD88" i="5"/>
  <c r="Z88" i="5"/>
  <c r="I88" i="5"/>
  <c r="BJ87" i="5"/>
  <c r="BF87" i="5"/>
  <c r="BD87" i="5"/>
  <c r="AX87" i="5"/>
  <c r="AP87" i="5"/>
  <c r="BI87" i="5" s="1"/>
  <c r="AC87" i="5" s="1"/>
  <c r="AO87" i="5"/>
  <c r="AL87" i="5"/>
  <c r="AK87" i="5"/>
  <c r="AJ87" i="5"/>
  <c r="AH87" i="5"/>
  <c r="AG87" i="5"/>
  <c r="AF87" i="5"/>
  <c r="AE87" i="5"/>
  <c r="AD87" i="5"/>
  <c r="Z87" i="5"/>
  <c r="I87" i="5"/>
  <c r="BJ86" i="5"/>
  <c r="BI86" i="5"/>
  <c r="AC86" i="5" s="1"/>
  <c r="BF86" i="5"/>
  <c r="BD86" i="5"/>
  <c r="AW86" i="5"/>
  <c r="AP86" i="5"/>
  <c r="AX86" i="5" s="1"/>
  <c r="AO86" i="5"/>
  <c r="BH86" i="5" s="1"/>
  <c r="AB86" i="5" s="1"/>
  <c r="AL86" i="5"/>
  <c r="AK86" i="5"/>
  <c r="AJ86" i="5"/>
  <c r="AH86" i="5"/>
  <c r="AG86" i="5"/>
  <c r="AF86" i="5"/>
  <c r="AE86" i="5"/>
  <c r="AD86" i="5"/>
  <c r="Z86" i="5"/>
  <c r="I86" i="5"/>
  <c r="BJ85" i="5"/>
  <c r="BI85" i="5"/>
  <c r="AC85" i="5" s="1"/>
  <c r="BH85" i="5"/>
  <c r="BF85" i="5"/>
  <c r="BD85" i="5"/>
  <c r="AP85" i="5"/>
  <c r="AX85" i="5" s="1"/>
  <c r="AO85" i="5"/>
  <c r="AW85" i="5" s="1"/>
  <c r="AK85" i="5"/>
  <c r="AJ85" i="5"/>
  <c r="AH85" i="5"/>
  <c r="AG85" i="5"/>
  <c r="AF85" i="5"/>
  <c r="AE85" i="5"/>
  <c r="AD85" i="5"/>
  <c r="AB85" i="5"/>
  <c r="Z85" i="5"/>
  <c r="I85" i="5"/>
  <c r="AL85" i="5" s="1"/>
  <c r="BJ84" i="5"/>
  <c r="BI84" i="5"/>
  <c r="AC84" i="5" s="1"/>
  <c r="BH84" i="5"/>
  <c r="AB84" i="5" s="1"/>
  <c r="BF84" i="5"/>
  <c r="BD84" i="5"/>
  <c r="AP84" i="5"/>
  <c r="AX84" i="5" s="1"/>
  <c r="AO84" i="5"/>
  <c r="AW84" i="5" s="1"/>
  <c r="AL84" i="5"/>
  <c r="AK84" i="5"/>
  <c r="AJ84" i="5"/>
  <c r="AH84" i="5"/>
  <c r="AG84" i="5"/>
  <c r="AF84" i="5"/>
  <c r="AE84" i="5"/>
  <c r="AD84" i="5"/>
  <c r="Z84" i="5"/>
  <c r="I84" i="5"/>
  <c r="BJ83" i="5"/>
  <c r="BI83" i="5"/>
  <c r="AC83" i="5" s="1"/>
  <c r="BH83" i="5"/>
  <c r="AB83" i="5" s="1"/>
  <c r="BF83" i="5"/>
  <c r="BD83" i="5"/>
  <c r="AP83" i="5"/>
  <c r="AX83" i="5" s="1"/>
  <c r="AO83" i="5"/>
  <c r="AW83" i="5" s="1"/>
  <c r="AK83" i="5"/>
  <c r="AJ83" i="5"/>
  <c r="AH83" i="5"/>
  <c r="AG83" i="5"/>
  <c r="AF83" i="5"/>
  <c r="AE83" i="5"/>
  <c r="AD83" i="5"/>
  <c r="Z83" i="5"/>
  <c r="I83" i="5"/>
  <c r="BJ82" i="5"/>
  <c r="BI82" i="5"/>
  <c r="AC82" i="5" s="1"/>
  <c r="BH82" i="5"/>
  <c r="AB82" i="5" s="1"/>
  <c r="BF82" i="5"/>
  <c r="BD82" i="5"/>
  <c r="AP82" i="5"/>
  <c r="AX82" i="5" s="1"/>
  <c r="AO82" i="5"/>
  <c r="AW82" i="5" s="1"/>
  <c r="AV82" i="5" s="1"/>
  <c r="AL82" i="5"/>
  <c r="AK82" i="5"/>
  <c r="AJ82" i="5"/>
  <c r="AS81" i="5" s="1"/>
  <c r="AH82" i="5"/>
  <c r="AG82" i="5"/>
  <c r="AF82" i="5"/>
  <c r="AE82" i="5"/>
  <c r="AD82" i="5"/>
  <c r="Z82" i="5"/>
  <c r="I82" i="5"/>
  <c r="BJ80" i="5"/>
  <c r="BI80" i="5"/>
  <c r="AC80" i="5" s="1"/>
  <c r="BH80" i="5"/>
  <c r="BF80" i="5"/>
  <c r="BD80" i="5"/>
  <c r="AP80" i="5"/>
  <c r="AX80" i="5" s="1"/>
  <c r="AO80" i="5"/>
  <c r="AW80" i="5" s="1"/>
  <c r="BC80" i="5" s="1"/>
  <c r="AK80" i="5"/>
  <c r="AT79" i="5" s="1"/>
  <c r="AJ80" i="5"/>
  <c r="AH80" i="5"/>
  <c r="AG80" i="5"/>
  <c r="AF80" i="5"/>
  <c r="AE80" i="5"/>
  <c r="AD80" i="5"/>
  <c r="AB80" i="5"/>
  <c r="Z80" i="5"/>
  <c r="I80" i="5"/>
  <c r="AL80" i="5" s="1"/>
  <c r="AU79" i="5" s="1"/>
  <c r="AS79" i="5"/>
  <c r="I79" i="5"/>
  <c r="BJ78" i="5"/>
  <c r="BF78" i="5"/>
  <c r="BD78" i="5"/>
  <c r="AP78" i="5"/>
  <c r="AO78" i="5"/>
  <c r="BH78" i="5" s="1"/>
  <c r="AB78" i="5" s="1"/>
  <c r="AL78" i="5"/>
  <c r="AK78" i="5"/>
  <c r="AJ78" i="5"/>
  <c r="AH78" i="5"/>
  <c r="AG78" i="5"/>
  <c r="AF78" i="5"/>
  <c r="AE78" i="5"/>
  <c r="AD78" i="5"/>
  <c r="Z78" i="5"/>
  <c r="I78" i="5"/>
  <c r="BJ77" i="5"/>
  <c r="BF77" i="5"/>
  <c r="BD77" i="5"/>
  <c r="AX77" i="5"/>
  <c r="AP77" i="5"/>
  <c r="BI77" i="5" s="1"/>
  <c r="AC77" i="5" s="1"/>
  <c r="AO77" i="5"/>
  <c r="AK77" i="5"/>
  <c r="AJ77" i="5"/>
  <c r="AH77" i="5"/>
  <c r="AG77" i="5"/>
  <c r="AF77" i="5"/>
  <c r="AE77" i="5"/>
  <c r="AD77" i="5"/>
  <c r="Z77" i="5"/>
  <c r="I77" i="5"/>
  <c r="AL77" i="5" s="1"/>
  <c r="AU76" i="5" s="1"/>
  <c r="AT76" i="5"/>
  <c r="AS76" i="5"/>
  <c r="BJ75" i="5"/>
  <c r="BH75" i="5"/>
  <c r="BF75" i="5"/>
  <c r="BD75" i="5"/>
  <c r="AW75" i="5"/>
  <c r="AP75" i="5"/>
  <c r="AO75" i="5"/>
  <c r="AK75" i="5"/>
  <c r="AJ75" i="5"/>
  <c r="AH75" i="5"/>
  <c r="AG75" i="5"/>
  <c r="AF75" i="5"/>
  <c r="AE75" i="5"/>
  <c r="AD75" i="5"/>
  <c r="AB75" i="5"/>
  <c r="Z75" i="5"/>
  <c r="I75" i="5"/>
  <c r="AL75" i="5" s="1"/>
  <c r="BJ74" i="5"/>
  <c r="BF74" i="5"/>
  <c r="BD74" i="5"/>
  <c r="AP74" i="5"/>
  <c r="BI74" i="5" s="1"/>
  <c r="AC74" i="5" s="1"/>
  <c r="AO74" i="5"/>
  <c r="AK74" i="5"/>
  <c r="AJ74" i="5"/>
  <c r="AH74" i="5"/>
  <c r="AG74" i="5"/>
  <c r="AF74" i="5"/>
  <c r="AE74" i="5"/>
  <c r="AD74" i="5"/>
  <c r="Z74" i="5"/>
  <c r="I74" i="5"/>
  <c r="AL74" i="5" s="1"/>
  <c r="BJ73" i="5"/>
  <c r="BF73" i="5"/>
  <c r="BD73" i="5"/>
  <c r="AP73" i="5"/>
  <c r="AO73" i="5"/>
  <c r="BH73" i="5" s="1"/>
  <c r="AB73" i="5" s="1"/>
  <c r="AK73" i="5"/>
  <c r="AJ73" i="5"/>
  <c r="AH73" i="5"/>
  <c r="AG73" i="5"/>
  <c r="AF73" i="5"/>
  <c r="AE73" i="5"/>
  <c r="AD73" i="5"/>
  <c r="Z73" i="5"/>
  <c r="I73" i="5"/>
  <c r="AL73" i="5" s="1"/>
  <c r="BJ72" i="5"/>
  <c r="BF72" i="5"/>
  <c r="BD72" i="5"/>
  <c r="AX72" i="5"/>
  <c r="AP72" i="5"/>
  <c r="BI72" i="5" s="1"/>
  <c r="AC72" i="5" s="1"/>
  <c r="AO72" i="5"/>
  <c r="AL72" i="5"/>
  <c r="AU70" i="5" s="1"/>
  <c r="AK72" i="5"/>
  <c r="AT70" i="5" s="1"/>
  <c r="AJ72" i="5"/>
  <c r="AH72" i="5"/>
  <c r="AG72" i="5"/>
  <c r="AF72" i="5"/>
  <c r="AE72" i="5"/>
  <c r="AD72" i="5"/>
  <c r="Z72" i="5"/>
  <c r="I72" i="5"/>
  <c r="BJ71" i="5"/>
  <c r="BI71" i="5"/>
  <c r="BF71" i="5"/>
  <c r="BD71" i="5"/>
  <c r="AW71" i="5"/>
  <c r="AP71" i="5"/>
  <c r="AX71" i="5" s="1"/>
  <c r="AO71" i="5"/>
  <c r="BH71" i="5" s="1"/>
  <c r="AB71" i="5" s="1"/>
  <c r="AL71" i="5"/>
  <c r="AK71" i="5"/>
  <c r="AJ71" i="5"/>
  <c r="AS70" i="5" s="1"/>
  <c r="AH71" i="5"/>
  <c r="AG71" i="5"/>
  <c r="AF71" i="5"/>
  <c r="AE71" i="5"/>
  <c r="AD71" i="5"/>
  <c r="AC71" i="5"/>
  <c r="Z71" i="5"/>
  <c r="I71" i="5"/>
  <c r="I70" i="5" s="1"/>
  <c r="BJ69" i="5"/>
  <c r="BF69" i="5"/>
  <c r="BD69" i="5"/>
  <c r="AP69" i="5"/>
  <c r="BI69" i="5" s="1"/>
  <c r="AC69" i="5" s="1"/>
  <c r="AO69" i="5"/>
  <c r="AK69" i="5"/>
  <c r="AJ69" i="5"/>
  <c r="AH69" i="5"/>
  <c r="AG69" i="5"/>
  <c r="AF69" i="5"/>
  <c r="AE69" i="5"/>
  <c r="AD69" i="5"/>
  <c r="Z69" i="5"/>
  <c r="I69" i="5"/>
  <c r="AT68" i="5"/>
  <c r="AS68" i="5"/>
  <c r="BJ66" i="5"/>
  <c r="BI66" i="5"/>
  <c r="AC66" i="5" s="1"/>
  <c r="BH66" i="5"/>
  <c r="AB66" i="5" s="1"/>
  <c r="BF66" i="5"/>
  <c r="BD66" i="5"/>
  <c r="AX66" i="5"/>
  <c r="AP66" i="5"/>
  <c r="AO66" i="5"/>
  <c r="AW66" i="5" s="1"/>
  <c r="AV66" i="5" s="1"/>
  <c r="AL66" i="5"/>
  <c r="AK66" i="5"/>
  <c r="AJ66" i="5"/>
  <c r="AH66" i="5"/>
  <c r="AG66" i="5"/>
  <c r="AF66" i="5"/>
  <c r="AE66" i="5"/>
  <c r="AD66" i="5"/>
  <c r="Z66" i="5"/>
  <c r="I66" i="5"/>
  <c r="BJ65" i="5"/>
  <c r="BI65" i="5"/>
  <c r="AC65" i="5" s="1"/>
  <c r="BH65" i="5"/>
  <c r="AB65" i="5" s="1"/>
  <c r="BF65" i="5"/>
  <c r="BD65" i="5"/>
  <c r="AX65" i="5"/>
  <c r="AW65" i="5"/>
  <c r="AV65" i="5" s="1"/>
  <c r="AP65" i="5"/>
  <c r="AO65" i="5"/>
  <c r="AK65" i="5"/>
  <c r="AJ65" i="5"/>
  <c r="AH65" i="5"/>
  <c r="AG65" i="5"/>
  <c r="AF65" i="5"/>
  <c r="AE65" i="5"/>
  <c r="AD65" i="5"/>
  <c r="Z65" i="5"/>
  <c r="I65" i="5"/>
  <c r="AL65" i="5" s="1"/>
  <c r="BJ64" i="5"/>
  <c r="BI64" i="5"/>
  <c r="BH64" i="5"/>
  <c r="BF64" i="5"/>
  <c r="BD64" i="5"/>
  <c r="AX64" i="5"/>
  <c r="AW64" i="5"/>
  <c r="BC64" i="5" s="1"/>
  <c r="AV64" i="5"/>
  <c r="AP64" i="5"/>
  <c r="AO64" i="5"/>
  <c r="AL64" i="5"/>
  <c r="AK64" i="5"/>
  <c r="AJ64" i="5"/>
  <c r="AH64" i="5"/>
  <c r="AG64" i="5"/>
  <c r="AF64" i="5"/>
  <c r="AE64" i="5"/>
  <c r="AD64" i="5"/>
  <c r="AC64" i="5"/>
  <c r="AB64" i="5"/>
  <c r="Z64" i="5"/>
  <c r="I64" i="5"/>
  <c r="BJ63" i="5"/>
  <c r="BH63" i="5"/>
  <c r="BF63" i="5"/>
  <c r="BD63" i="5"/>
  <c r="AW63" i="5"/>
  <c r="AP63" i="5"/>
  <c r="AO63" i="5"/>
  <c r="AK63" i="5"/>
  <c r="AT60" i="5" s="1"/>
  <c r="AJ63" i="5"/>
  <c r="AH63" i="5"/>
  <c r="AG63" i="5"/>
  <c r="AF63" i="5"/>
  <c r="AE63" i="5"/>
  <c r="AD63" i="5"/>
  <c r="AB63" i="5"/>
  <c r="Z63" i="5"/>
  <c r="I63" i="5"/>
  <c r="AL63" i="5" s="1"/>
  <c r="BJ62" i="5"/>
  <c r="BF62" i="5"/>
  <c r="BD62" i="5"/>
  <c r="AP62" i="5"/>
  <c r="BI62" i="5" s="1"/>
  <c r="AC62" i="5" s="1"/>
  <c r="AO62" i="5"/>
  <c r="AK62" i="5"/>
  <c r="AJ62" i="5"/>
  <c r="AS60" i="5" s="1"/>
  <c r="AH62" i="5"/>
  <c r="AG62" i="5"/>
  <c r="AF62" i="5"/>
  <c r="AE62" i="5"/>
  <c r="AD62" i="5"/>
  <c r="Z62" i="5"/>
  <c r="I62" i="5"/>
  <c r="AL62" i="5" s="1"/>
  <c r="BJ61" i="5"/>
  <c r="BF61" i="5"/>
  <c r="BD61" i="5"/>
  <c r="AP61" i="5"/>
  <c r="AO61" i="5"/>
  <c r="BH61" i="5" s="1"/>
  <c r="AB61" i="5" s="1"/>
  <c r="AL61" i="5"/>
  <c r="AU60" i="5" s="1"/>
  <c r="AK61" i="5"/>
  <c r="AJ61" i="5"/>
  <c r="AH61" i="5"/>
  <c r="AG61" i="5"/>
  <c r="AF61" i="5"/>
  <c r="AE61" i="5"/>
  <c r="AD61" i="5"/>
  <c r="Z61" i="5"/>
  <c r="I61" i="5"/>
  <c r="I60" i="5" s="1"/>
  <c r="BJ59" i="5"/>
  <c r="BI59" i="5"/>
  <c r="BH59" i="5"/>
  <c r="AB59" i="5" s="1"/>
  <c r="BF59" i="5"/>
  <c r="BD59" i="5"/>
  <c r="AX59" i="5"/>
  <c r="AW59" i="5"/>
  <c r="AV59" i="5" s="1"/>
  <c r="AP59" i="5"/>
  <c r="AO59" i="5"/>
  <c r="AL59" i="5"/>
  <c r="AK59" i="5"/>
  <c r="AJ59" i="5"/>
  <c r="AH59" i="5"/>
  <c r="AG59" i="5"/>
  <c r="AF59" i="5"/>
  <c r="AE59" i="5"/>
  <c r="AD59" i="5"/>
  <c r="AC59" i="5"/>
  <c r="Z59" i="5"/>
  <c r="I59" i="5"/>
  <c r="AU58" i="5"/>
  <c r="AT58" i="5"/>
  <c r="AS58" i="5"/>
  <c r="I58" i="5"/>
  <c r="L21" i="1" s="1"/>
  <c r="N21" i="1" s="1"/>
  <c r="BJ57" i="5"/>
  <c r="BI57" i="5"/>
  <c r="AC57" i="5" s="1"/>
  <c r="BH57" i="5"/>
  <c r="AB57" i="5" s="1"/>
  <c r="BF57" i="5"/>
  <c r="BD57" i="5"/>
  <c r="AP57" i="5"/>
  <c r="AX57" i="5" s="1"/>
  <c r="BC57" i="5" s="1"/>
  <c r="AO57" i="5"/>
  <c r="AW57" i="5" s="1"/>
  <c r="AL57" i="5"/>
  <c r="AK57" i="5"/>
  <c r="AJ57" i="5"/>
  <c r="AH57" i="5"/>
  <c r="AG57" i="5"/>
  <c r="AF57" i="5"/>
  <c r="AE57" i="5"/>
  <c r="AD57" i="5"/>
  <c r="Z57" i="5"/>
  <c r="I57" i="5"/>
  <c r="BJ56" i="5"/>
  <c r="BI56" i="5"/>
  <c r="AC56" i="5" s="1"/>
  <c r="BH56" i="5"/>
  <c r="AB56" i="5" s="1"/>
  <c r="BF56" i="5"/>
  <c r="BD56" i="5"/>
  <c r="AX56" i="5"/>
  <c r="BC56" i="5" s="1"/>
  <c r="AP56" i="5"/>
  <c r="AO56" i="5"/>
  <c r="AW56" i="5" s="1"/>
  <c r="AL56" i="5"/>
  <c r="AK56" i="5"/>
  <c r="AT49" i="5" s="1"/>
  <c r="AJ56" i="5"/>
  <c r="AH56" i="5"/>
  <c r="AG56" i="5"/>
  <c r="AF56" i="5"/>
  <c r="AE56" i="5"/>
  <c r="AD56" i="5"/>
  <c r="Z56" i="5"/>
  <c r="I56" i="5"/>
  <c r="BJ55" i="5"/>
  <c r="BI55" i="5"/>
  <c r="AC55" i="5" s="1"/>
  <c r="BH55" i="5"/>
  <c r="AB55" i="5" s="1"/>
  <c r="BF55" i="5"/>
  <c r="BD55" i="5"/>
  <c r="AX55" i="5"/>
  <c r="AW55" i="5"/>
  <c r="AV55" i="5" s="1"/>
  <c r="AP55" i="5"/>
  <c r="AO55" i="5"/>
  <c r="AK55" i="5"/>
  <c r="AJ55" i="5"/>
  <c r="AH55" i="5"/>
  <c r="AG55" i="5"/>
  <c r="AF55" i="5"/>
  <c r="AE55" i="5"/>
  <c r="AD55" i="5"/>
  <c r="Z55" i="5"/>
  <c r="I55" i="5"/>
  <c r="AL55" i="5" s="1"/>
  <c r="BJ54" i="5"/>
  <c r="BI54" i="5"/>
  <c r="BH54" i="5"/>
  <c r="AB54" i="5" s="1"/>
  <c r="BF54" i="5"/>
  <c r="BD54" i="5"/>
  <c r="AX54" i="5"/>
  <c r="AW54" i="5"/>
  <c r="BC54" i="5" s="1"/>
  <c r="AP54" i="5"/>
  <c r="AO54" i="5"/>
  <c r="AL54" i="5"/>
  <c r="AK54" i="5"/>
  <c r="AJ54" i="5"/>
  <c r="AH54" i="5"/>
  <c r="AG54" i="5"/>
  <c r="C19" i="3" s="1"/>
  <c r="AF54" i="5"/>
  <c r="C18" i="3" s="1"/>
  <c r="AE54" i="5"/>
  <c r="AD54" i="5"/>
  <c r="AC54" i="5"/>
  <c r="Z54" i="5"/>
  <c r="I54" i="5"/>
  <c r="BJ53" i="5"/>
  <c r="BH53" i="5"/>
  <c r="BF53" i="5"/>
  <c r="BD53" i="5"/>
  <c r="AW53" i="5"/>
  <c r="AP53" i="5"/>
  <c r="AO53" i="5"/>
  <c r="AK53" i="5"/>
  <c r="AJ53" i="5"/>
  <c r="AH53" i="5"/>
  <c r="AG53" i="5"/>
  <c r="AF53" i="5"/>
  <c r="AE53" i="5"/>
  <c r="AD53" i="5"/>
  <c r="AB53" i="5"/>
  <c r="Z53" i="5"/>
  <c r="I53" i="5"/>
  <c r="AL53" i="5" s="1"/>
  <c r="BJ52" i="5"/>
  <c r="BF52" i="5"/>
  <c r="BD52" i="5"/>
  <c r="AP52" i="5"/>
  <c r="BI52" i="5" s="1"/>
  <c r="AC52" i="5" s="1"/>
  <c r="AO52" i="5"/>
  <c r="AK52" i="5"/>
  <c r="AJ52" i="5"/>
  <c r="AH52" i="5"/>
  <c r="AG52" i="5"/>
  <c r="AF52" i="5"/>
  <c r="AE52" i="5"/>
  <c r="AD52" i="5"/>
  <c r="Z52" i="5"/>
  <c r="I52" i="5"/>
  <c r="AL52" i="5" s="1"/>
  <c r="BJ51" i="5"/>
  <c r="BF51" i="5"/>
  <c r="BD51" i="5"/>
  <c r="AP51" i="5"/>
  <c r="BI51" i="5" s="1"/>
  <c r="AC51" i="5" s="1"/>
  <c r="AO51" i="5"/>
  <c r="BH51" i="5" s="1"/>
  <c r="AB51" i="5" s="1"/>
  <c r="AL51" i="5"/>
  <c r="AK51" i="5"/>
  <c r="AJ51" i="5"/>
  <c r="AH51" i="5"/>
  <c r="AG51" i="5"/>
  <c r="AF51" i="5"/>
  <c r="AE51" i="5"/>
  <c r="AD51" i="5"/>
  <c r="Z51" i="5"/>
  <c r="I51" i="5"/>
  <c r="BJ50" i="5"/>
  <c r="BF50" i="5"/>
  <c r="BD50" i="5"/>
  <c r="AX50" i="5"/>
  <c r="AP50" i="5"/>
  <c r="BI50" i="5" s="1"/>
  <c r="AC50" i="5" s="1"/>
  <c r="AO50" i="5"/>
  <c r="BH50" i="5" s="1"/>
  <c r="AB50" i="5" s="1"/>
  <c r="AL50" i="5"/>
  <c r="AU49" i="5" s="1"/>
  <c r="AK50" i="5"/>
  <c r="AJ50" i="5"/>
  <c r="AH50" i="5"/>
  <c r="AG50" i="5"/>
  <c r="AF50" i="5"/>
  <c r="AE50" i="5"/>
  <c r="AD50" i="5"/>
  <c r="Z50" i="5"/>
  <c r="I50" i="5"/>
  <c r="I49" i="5" s="1"/>
  <c r="L20" i="1" s="1"/>
  <c r="N20" i="1" s="1"/>
  <c r="BJ48" i="5"/>
  <c r="BH48" i="5"/>
  <c r="BF48" i="5"/>
  <c r="BD48" i="5"/>
  <c r="AW48" i="5"/>
  <c r="AP48" i="5"/>
  <c r="AO48" i="5"/>
  <c r="AK48" i="5"/>
  <c r="AJ48" i="5"/>
  <c r="AH48" i="5"/>
  <c r="AG48" i="5"/>
  <c r="AF48" i="5"/>
  <c r="AE48" i="5"/>
  <c r="AD48" i="5"/>
  <c r="AB48" i="5"/>
  <c r="Z48" i="5"/>
  <c r="I48" i="5"/>
  <c r="AL48" i="5" s="1"/>
  <c r="BJ47" i="5"/>
  <c r="BF47" i="5"/>
  <c r="BD47" i="5"/>
  <c r="AP47" i="5"/>
  <c r="BI47" i="5" s="1"/>
  <c r="AC47" i="5" s="1"/>
  <c r="AO47" i="5"/>
  <c r="AK47" i="5"/>
  <c r="AJ47" i="5"/>
  <c r="AS44" i="5" s="1"/>
  <c r="AH47" i="5"/>
  <c r="AG47" i="5"/>
  <c r="AF47" i="5"/>
  <c r="AE47" i="5"/>
  <c r="AD47" i="5"/>
  <c r="Z47" i="5"/>
  <c r="I47" i="5"/>
  <c r="AL47" i="5" s="1"/>
  <c r="BJ46" i="5"/>
  <c r="BF46" i="5"/>
  <c r="BD46" i="5"/>
  <c r="AP46" i="5"/>
  <c r="BI46" i="5" s="1"/>
  <c r="AC46" i="5" s="1"/>
  <c r="AO46" i="5"/>
  <c r="BH46" i="5" s="1"/>
  <c r="AB46" i="5" s="1"/>
  <c r="AL46" i="5"/>
  <c r="AK46" i="5"/>
  <c r="AJ46" i="5"/>
  <c r="AH46" i="5"/>
  <c r="AG46" i="5"/>
  <c r="AF46" i="5"/>
  <c r="AE46" i="5"/>
  <c r="AD46" i="5"/>
  <c r="Z46" i="5"/>
  <c r="I46" i="5"/>
  <c r="BJ45" i="5"/>
  <c r="BF45" i="5"/>
  <c r="BD45" i="5"/>
  <c r="AX45" i="5"/>
  <c r="AW45" i="5"/>
  <c r="BC45" i="5" s="1"/>
  <c r="AP45" i="5"/>
  <c r="BI45" i="5" s="1"/>
  <c r="AC45" i="5" s="1"/>
  <c r="AO45" i="5"/>
  <c r="BH45" i="5" s="1"/>
  <c r="AK45" i="5"/>
  <c r="AJ45" i="5"/>
  <c r="AH45" i="5"/>
  <c r="AG45" i="5"/>
  <c r="AF45" i="5"/>
  <c r="AE45" i="5"/>
  <c r="AD45" i="5"/>
  <c r="AB45" i="5"/>
  <c r="Z45" i="5"/>
  <c r="I45" i="5"/>
  <c r="AL45" i="5" s="1"/>
  <c r="AU44" i="5" s="1"/>
  <c r="AT44" i="5"/>
  <c r="BJ43" i="5"/>
  <c r="BH43" i="5"/>
  <c r="BF43" i="5"/>
  <c r="BD43" i="5"/>
  <c r="AW43" i="5"/>
  <c r="AP43" i="5"/>
  <c r="AO43" i="5"/>
  <c r="AK43" i="5"/>
  <c r="AJ43" i="5"/>
  <c r="AH43" i="5"/>
  <c r="AG43" i="5"/>
  <c r="AF43" i="5"/>
  <c r="AE43" i="5"/>
  <c r="AD43" i="5"/>
  <c r="AB43" i="5"/>
  <c r="Z43" i="5"/>
  <c r="I43" i="5"/>
  <c r="AL43" i="5" s="1"/>
  <c r="AU42" i="5" s="1"/>
  <c r="AT42" i="5"/>
  <c r="AS42" i="5"/>
  <c r="I42" i="5"/>
  <c r="BJ41" i="5"/>
  <c r="BI41" i="5"/>
  <c r="AC41" i="5" s="1"/>
  <c r="BH41" i="5"/>
  <c r="AB41" i="5" s="1"/>
  <c r="BF41" i="5"/>
  <c r="BD41" i="5"/>
  <c r="AX41" i="5"/>
  <c r="AP41" i="5"/>
  <c r="AO41" i="5"/>
  <c r="AW41" i="5" s="1"/>
  <c r="AV41" i="5" s="1"/>
  <c r="AL41" i="5"/>
  <c r="AK41" i="5"/>
  <c r="AJ41" i="5"/>
  <c r="AH41" i="5"/>
  <c r="AG41" i="5"/>
  <c r="AF41" i="5"/>
  <c r="AE41" i="5"/>
  <c r="AD41" i="5"/>
  <c r="Z41" i="5"/>
  <c r="I41" i="5"/>
  <c r="BJ40" i="5"/>
  <c r="BI40" i="5"/>
  <c r="AC40" i="5" s="1"/>
  <c r="BH40" i="5"/>
  <c r="AB40" i="5" s="1"/>
  <c r="BF40" i="5"/>
  <c r="BD40" i="5"/>
  <c r="AX40" i="5"/>
  <c r="AW40" i="5"/>
  <c r="AV40" i="5" s="1"/>
  <c r="AP40" i="5"/>
  <c r="AO40" i="5"/>
  <c r="AK40" i="5"/>
  <c r="AJ40" i="5"/>
  <c r="AH40" i="5"/>
  <c r="AG40" i="5"/>
  <c r="AF40" i="5"/>
  <c r="AE40" i="5"/>
  <c r="AD40" i="5"/>
  <c r="Z40" i="5"/>
  <c r="I40" i="5"/>
  <c r="AL40" i="5" s="1"/>
  <c r="BJ39" i="5"/>
  <c r="BI39" i="5"/>
  <c r="BH39" i="5"/>
  <c r="BF39" i="5"/>
  <c r="BD39" i="5"/>
  <c r="AX39" i="5"/>
  <c r="AW39" i="5"/>
  <c r="BC39" i="5" s="1"/>
  <c r="AP39" i="5"/>
  <c r="AO39" i="5"/>
  <c r="AL39" i="5"/>
  <c r="AK39" i="5"/>
  <c r="AJ39" i="5"/>
  <c r="AH39" i="5"/>
  <c r="C20" i="3" s="1"/>
  <c r="AG39" i="5"/>
  <c r="AF39" i="5"/>
  <c r="AE39" i="5"/>
  <c r="AD39" i="5"/>
  <c r="AC39" i="5"/>
  <c r="AB39" i="5"/>
  <c r="Z39" i="5"/>
  <c r="I39" i="5"/>
  <c r="BJ38" i="5"/>
  <c r="BH38" i="5"/>
  <c r="BF38" i="5"/>
  <c r="BD38" i="5"/>
  <c r="AW38" i="5"/>
  <c r="AP38" i="5"/>
  <c r="AO38" i="5"/>
  <c r="AK38" i="5"/>
  <c r="AJ38" i="5"/>
  <c r="AH38" i="5"/>
  <c r="AG38" i="5"/>
  <c r="AF38" i="5"/>
  <c r="AE38" i="5"/>
  <c r="AD38" i="5"/>
  <c r="AB38" i="5"/>
  <c r="Z38" i="5"/>
  <c r="I38" i="5"/>
  <c r="AL38" i="5" s="1"/>
  <c r="BJ37" i="5"/>
  <c r="BF37" i="5"/>
  <c r="BD37" i="5"/>
  <c r="AP37" i="5"/>
  <c r="BI37" i="5" s="1"/>
  <c r="AC37" i="5" s="1"/>
  <c r="AO37" i="5"/>
  <c r="AK37" i="5"/>
  <c r="AJ37" i="5"/>
  <c r="AH37" i="5"/>
  <c r="AG37" i="5"/>
  <c r="AF37" i="5"/>
  <c r="AE37" i="5"/>
  <c r="AD37" i="5"/>
  <c r="Z37" i="5"/>
  <c r="I37" i="5"/>
  <c r="AL37" i="5" s="1"/>
  <c r="BJ36" i="5"/>
  <c r="BF36" i="5"/>
  <c r="BD36" i="5"/>
  <c r="AW36" i="5"/>
  <c r="AP36" i="5"/>
  <c r="BI36" i="5" s="1"/>
  <c r="AC36" i="5" s="1"/>
  <c r="AO36" i="5"/>
  <c r="BH36" i="5" s="1"/>
  <c r="AB36" i="5" s="1"/>
  <c r="AK36" i="5"/>
  <c r="AJ36" i="5"/>
  <c r="AH36" i="5"/>
  <c r="AG36" i="5"/>
  <c r="AF36" i="5"/>
  <c r="AE36" i="5"/>
  <c r="AD36" i="5"/>
  <c r="Z36" i="5"/>
  <c r="I36" i="5"/>
  <c r="AL36" i="5" s="1"/>
  <c r="AU33" i="5" s="1"/>
  <c r="BJ35" i="5"/>
  <c r="BF35" i="5"/>
  <c r="BD35" i="5"/>
  <c r="AX35" i="5"/>
  <c r="AW35" i="5"/>
  <c r="BC35" i="5" s="1"/>
  <c r="AV35" i="5"/>
  <c r="AP35" i="5"/>
  <c r="BI35" i="5" s="1"/>
  <c r="AC35" i="5" s="1"/>
  <c r="AO35" i="5"/>
  <c r="BH35" i="5" s="1"/>
  <c r="AL35" i="5"/>
  <c r="AK35" i="5"/>
  <c r="AJ35" i="5"/>
  <c r="AH35" i="5"/>
  <c r="AG35" i="5"/>
  <c r="AF35" i="5"/>
  <c r="AE35" i="5"/>
  <c r="AD35" i="5"/>
  <c r="AB35" i="5"/>
  <c r="Z35" i="5"/>
  <c r="I35" i="5"/>
  <c r="BJ34" i="5"/>
  <c r="BI34" i="5"/>
  <c r="AC34" i="5" s="1"/>
  <c r="BF34" i="5"/>
  <c r="BD34" i="5"/>
  <c r="AW34" i="5"/>
  <c r="AV34" i="5" s="1"/>
  <c r="AP34" i="5"/>
  <c r="AX34" i="5" s="1"/>
  <c r="AO34" i="5"/>
  <c r="BH34" i="5" s="1"/>
  <c r="AB34" i="5" s="1"/>
  <c r="AL34" i="5"/>
  <c r="AK34" i="5"/>
  <c r="AJ34" i="5"/>
  <c r="C27" i="3" s="1"/>
  <c r="AH34" i="5"/>
  <c r="AG34" i="5"/>
  <c r="AF34" i="5"/>
  <c r="AE34" i="5"/>
  <c r="AD34" i="5"/>
  <c r="Z34" i="5"/>
  <c r="I34" i="5"/>
  <c r="AT33" i="5"/>
  <c r="BJ32" i="5"/>
  <c r="BF32" i="5"/>
  <c r="BD32" i="5"/>
  <c r="AX32" i="5"/>
  <c r="AP32" i="5"/>
  <c r="BI32" i="5" s="1"/>
  <c r="AC32" i="5" s="1"/>
  <c r="AO32" i="5"/>
  <c r="AK32" i="5"/>
  <c r="AJ32" i="5"/>
  <c r="AH32" i="5"/>
  <c r="AG32" i="5"/>
  <c r="AF32" i="5"/>
  <c r="AE32" i="5"/>
  <c r="AD32" i="5"/>
  <c r="Z32" i="5"/>
  <c r="I32" i="5"/>
  <c r="AL32" i="5" s="1"/>
  <c r="BJ31" i="5"/>
  <c r="BF31" i="5"/>
  <c r="BD31" i="5"/>
  <c r="AX31" i="5"/>
  <c r="AW31" i="5"/>
  <c r="AV31" i="5" s="1"/>
  <c r="AP31" i="5"/>
  <c r="BI31" i="5" s="1"/>
  <c r="AO31" i="5"/>
  <c r="BH31" i="5" s="1"/>
  <c r="AB31" i="5" s="1"/>
  <c r="AL31" i="5"/>
  <c r="AK31" i="5"/>
  <c r="AJ31" i="5"/>
  <c r="AH31" i="5"/>
  <c r="AG31" i="5"/>
  <c r="AF31" i="5"/>
  <c r="AE31" i="5"/>
  <c r="AD31" i="5"/>
  <c r="AC31" i="5"/>
  <c r="Z31" i="5"/>
  <c r="I31" i="5"/>
  <c r="BJ30" i="5"/>
  <c r="BF30" i="5"/>
  <c r="BD30" i="5"/>
  <c r="AX30" i="5"/>
  <c r="AP30" i="5"/>
  <c r="BI30" i="5" s="1"/>
  <c r="AC30" i="5" s="1"/>
  <c r="AO30" i="5"/>
  <c r="BH30" i="5" s="1"/>
  <c r="AB30" i="5" s="1"/>
  <c r="AL30" i="5"/>
  <c r="AU28" i="5" s="1"/>
  <c r="AK30" i="5"/>
  <c r="C28" i="3" s="1"/>
  <c r="F28" i="3" s="1"/>
  <c r="AJ30" i="5"/>
  <c r="AH30" i="5"/>
  <c r="AG30" i="5"/>
  <c r="AF30" i="5"/>
  <c r="AE30" i="5"/>
  <c r="AD30" i="5"/>
  <c r="Z30" i="5"/>
  <c r="I30" i="5"/>
  <c r="BJ29" i="5"/>
  <c r="BI29" i="5"/>
  <c r="AC29" i="5" s="1"/>
  <c r="BF29" i="5"/>
  <c r="BD29" i="5"/>
  <c r="AW29" i="5"/>
  <c r="BC29" i="5" s="1"/>
  <c r="AP29" i="5"/>
  <c r="AX29" i="5" s="1"/>
  <c r="AO29" i="5"/>
  <c r="BH29" i="5" s="1"/>
  <c r="AB29" i="5" s="1"/>
  <c r="AL29" i="5"/>
  <c r="AK29" i="5"/>
  <c r="AJ29" i="5"/>
  <c r="AH29" i="5"/>
  <c r="AG29" i="5"/>
  <c r="AF29" i="5"/>
  <c r="AE29" i="5"/>
  <c r="AD29" i="5"/>
  <c r="Z29" i="5"/>
  <c r="I29" i="5"/>
  <c r="AS28" i="5"/>
  <c r="BJ27" i="5"/>
  <c r="BF27" i="5"/>
  <c r="BD27" i="5"/>
  <c r="AP27" i="5"/>
  <c r="BI27" i="5" s="1"/>
  <c r="AC27" i="5" s="1"/>
  <c r="AO27" i="5"/>
  <c r="AK27" i="5"/>
  <c r="AJ27" i="5"/>
  <c r="AH27" i="5"/>
  <c r="AG27" i="5"/>
  <c r="AF27" i="5"/>
  <c r="AE27" i="5"/>
  <c r="AD27" i="5"/>
  <c r="Z27" i="5"/>
  <c r="I27" i="5"/>
  <c r="AL27" i="5" s="1"/>
  <c r="BJ26" i="5"/>
  <c r="BF26" i="5"/>
  <c r="BD26" i="5"/>
  <c r="AP26" i="5"/>
  <c r="BI26" i="5" s="1"/>
  <c r="AC26" i="5" s="1"/>
  <c r="AO26" i="5"/>
  <c r="BH26" i="5" s="1"/>
  <c r="AB26" i="5" s="1"/>
  <c r="AL26" i="5"/>
  <c r="AK26" i="5"/>
  <c r="AJ26" i="5"/>
  <c r="AH26" i="5"/>
  <c r="AG26" i="5"/>
  <c r="AF26" i="5"/>
  <c r="AE26" i="5"/>
  <c r="AD26" i="5"/>
  <c r="Z26" i="5"/>
  <c r="I26" i="5"/>
  <c r="BJ25" i="5"/>
  <c r="BF25" i="5"/>
  <c r="BD25" i="5"/>
  <c r="AX25" i="5"/>
  <c r="AP25" i="5"/>
  <c r="BI25" i="5" s="1"/>
  <c r="AO25" i="5"/>
  <c r="BH25" i="5" s="1"/>
  <c r="AB25" i="5" s="1"/>
  <c r="AK25" i="5"/>
  <c r="AJ25" i="5"/>
  <c r="AH25" i="5"/>
  <c r="AG25" i="5"/>
  <c r="AF25" i="5"/>
  <c r="AE25" i="5"/>
  <c r="AD25" i="5"/>
  <c r="AC25" i="5"/>
  <c r="Z25" i="5"/>
  <c r="I25" i="5"/>
  <c r="AL25" i="5" s="1"/>
  <c r="AU23" i="5" s="1"/>
  <c r="BJ24" i="5"/>
  <c r="BF24" i="5"/>
  <c r="BD24" i="5"/>
  <c r="AW24" i="5"/>
  <c r="AP24" i="5"/>
  <c r="AX24" i="5" s="1"/>
  <c r="AV24" i="5" s="1"/>
  <c r="AO24" i="5"/>
  <c r="BH24" i="5" s="1"/>
  <c r="AL24" i="5"/>
  <c r="AK24" i="5"/>
  <c r="AJ24" i="5"/>
  <c r="AH24" i="5"/>
  <c r="AG24" i="5"/>
  <c r="AF24" i="5"/>
  <c r="AE24" i="5"/>
  <c r="AD24" i="5"/>
  <c r="AB24" i="5"/>
  <c r="Z24" i="5"/>
  <c r="I24" i="5"/>
  <c r="AT23" i="5"/>
  <c r="AS23" i="5"/>
  <c r="BJ22" i="5"/>
  <c r="BF22" i="5"/>
  <c r="BD22" i="5"/>
  <c r="AW22" i="5"/>
  <c r="AP22" i="5"/>
  <c r="BI22" i="5" s="1"/>
  <c r="AC22" i="5" s="1"/>
  <c r="AO22" i="5"/>
  <c r="BH22" i="5" s="1"/>
  <c r="AK22" i="5"/>
  <c r="AJ22" i="5"/>
  <c r="AS19" i="5" s="1"/>
  <c r="AH22" i="5"/>
  <c r="AG22" i="5"/>
  <c r="AF22" i="5"/>
  <c r="AE22" i="5"/>
  <c r="AD22" i="5"/>
  <c r="AB22" i="5"/>
  <c r="Z22" i="5"/>
  <c r="I22" i="5"/>
  <c r="AL22" i="5" s="1"/>
  <c r="BJ21" i="5"/>
  <c r="BF21" i="5"/>
  <c r="BD21" i="5"/>
  <c r="AX21" i="5"/>
  <c r="AP21" i="5"/>
  <c r="BI21" i="5" s="1"/>
  <c r="AC21" i="5" s="1"/>
  <c r="AO21" i="5"/>
  <c r="BH21" i="5" s="1"/>
  <c r="AB21" i="5" s="1"/>
  <c r="AL21" i="5"/>
  <c r="AK21" i="5"/>
  <c r="AJ21" i="5"/>
  <c r="AH21" i="5"/>
  <c r="AG21" i="5"/>
  <c r="AF21" i="5"/>
  <c r="AE21" i="5"/>
  <c r="AD21" i="5"/>
  <c r="Z21" i="5"/>
  <c r="I21" i="5"/>
  <c r="BJ20" i="5"/>
  <c r="BF20" i="5"/>
  <c r="BD20" i="5"/>
  <c r="AP20" i="5"/>
  <c r="BI20" i="5" s="1"/>
  <c r="AC20" i="5" s="1"/>
  <c r="AO20" i="5"/>
  <c r="BH20" i="5" s="1"/>
  <c r="AB20" i="5" s="1"/>
  <c r="AK20" i="5"/>
  <c r="AJ20" i="5"/>
  <c r="AH20" i="5"/>
  <c r="AG20" i="5"/>
  <c r="AF20" i="5"/>
  <c r="AE20" i="5"/>
  <c r="AD20" i="5"/>
  <c r="Z20" i="5"/>
  <c r="I20" i="5"/>
  <c r="AL20" i="5" s="1"/>
  <c r="AU19" i="5" s="1"/>
  <c r="AT19" i="5"/>
  <c r="BJ18" i="5"/>
  <c r="BH18" i="5"/>
  <c r="BF18" i="5"/>
  <c r="BD18" i="5"/>
  <c r="AW18" i="5"/>
  <c r="AP18" i="5"/>
  <c r="BI18" i="5" s="1"/>
  <c r="AC18" i="5" s="1"/>
  <c r="AO18" i="5"/>
  <c r="AK18" i="5"/>
  <c r="AJ18" i="5"/>
  <c r="AH18" i="5"/>
  <c r="AG18" i="5"/>
  <c r="AF18" i="5"/>
  <c r="AE18" i="5"/>
  <c r="AD18" i="5"/>
  <c r="AB18" i="5"/>
  <c r="Z18" i="5"/>
  <c r="I18" i="5"/>
  <c r="AL18" i="5" s="1"/>
  <c r="BJ17" i="5"/>
  <c r="BF17" i="5"/>
  <c r="BD17" i="5"/>
  <c r="AW17" i="5"/>
  <c r="AP17" i="5"/>
  <c r="BI17" i="5" s="1"/>
  <c r="AC17" i="5" s="1"/>
  <c r="AO17" i="5"/>
  <c r="BH17" i="5" s="1"/>
  <c r="AK17" i="5"/>
  <c r="AJ17" i="5"/>
  <c r="AH17" i="5"/>
  <c r="AG17" i="5"/>
  <c r="AF17" i="5"/>
  <c r="AE17" i="5"/>
  <c r="AD17" i="5"/>
  <c r="AB17" i="5"/>
  <c r="Z17" i="5"/>
  <c r="I17" i="5"/>
  <c r="AL17" i="5" s="1"/>
  <c r="BJ16" i="5"/>
  <c r="BF16" i="5"/>
  <c r="BD16" i="5"/>
  <c r="AX16" i="5"/>
  <c r="AP16" i="5"/>
  <c r="BI16" i="5" s="1"/>
  <c r="AC16" i="5" s="1"/>
  <c r="AO16" i="5"/>
  <c r="BH16" i="5" s="1"/>
  <c r="AB16" i="5" s="1"/>
  <c r="AL16" i="5"/>
  <c r="AK16" i="5"/>
  <c r="AJ16" i="5"/>
  <c r="AH16" i="5"/>
  <c r="AG16" i="5"/>
  <c r="AF16" i="5"/>
  <c r="AE16" i="5"/>
  <c r="AD16" i="5"/>
  <c r="C16" i="3" s="1"/>
  <c r="Z16" i="5"/>
  <c r="I16" i="5"/>
  <c r="BJ15" i="5"/>
  <c r="BF15" i="5"/>
  <c r="BD15" i="5"/>
  <c r="AP15" i="5"/>
  <c r="BI15" i="5" s="1"/>
  <c r="AC15" i="5" s="1"/>
  <c r="AO15" i="5"/>
  <c r="BH15" i="5" s="1"/>
  <c r="AB15" i="5" s="1"/>
  <c r="AK15" i="5"/>
  <c r="AJ15" i="5"/>
  <c r="AH15" i="5"/>
  <c r="AG15" i="5"/>
  <c r="AF15" i="5"/>
  <c r="AE15" i="5"/>
  <c r="AD15" i="5"/>
  <c r="Z15" i="5"/>
  <c r="I15" i="5"/>
  <c r="AL15" i="5" s="1"/>
  <c r="BJ14" i="5"/>
  <c r="BF14" i="5"/>
  <c r="BD14" i="5"/>
  <c r="AW14" i="5"/>
  <c r="AP14" i="5"/>
  <c r="AX14" i="5" s="1"/>
  <c r="AV14" i="5" s="1"/>
  <c r="AO14" i="5"/>
  <c r="BH14" i="5" s="1"/>
  <c r="AL14" i="5"/>
  <c r="AK14" i="5"/>
  <c r="AJ14" i="5"/>
  <c r="AH14" i="5"/>
  <c r="AG14" i="5"/>
  <c r="AF14" i="5"/>
  <c r="AE14" i="5"/>
  <c r="AD14" i="5"/>
  <c r="AB14" i="5"/>
  <c r="Z14" i="5"/>
  <c r="C21" i="3" s="1"/>
  <c r="I14" i="5"/>
  <c r="AT13" i="5"/>
  <c r="AS13" i="5"/>
  <c r="AU1" i="5"/>
  <c r="AT1" i="5"/>
  <c r="AS1" i="5"/>
  <c r="F44" i="4"/>
  <c r="I44" i="4" s="1"/>
  <c r="F43" i="4"/>
  <c r="I43" i="4" s="1"/>
  <c r="F42" i="4"/>
  <c r="I42" i="4" s="1"/>
  <c r="F41" i="4"/>
  <c r="I41" i="4" s="1"/>
  <c r="F40" i="4"/>
  <c r="I40" i="4" s="1"/>
  <c r="F39" i="4"/>
  <c r="I39" i="4" s="1"/>
  <c r="F38" i="4"/>
  <c r="I38" i="4" s="1"/>
  <c r="F37" i="4"/>
  <c r="I37" i="4" s="1"/>
  <c r="F36" i="4"/>
  <c r="I36" i="4" s="1"/>
  <c r="F35" i="4"/>
  <c r="I35" i="4" s="1"/>
  <c r="I26" i="4"/>
  <c r="I19" i="3" s="1"/>
  <c r="I25" i="4"/>
  <c r="I18" i="3" s="1"/>
  <c r="I24" i="4"/>
  <c r="I23" i="4"/>
  <c r="I16" i="3" s="1"/>
  <c r="I22" i="3" s="1"/>
  <c r="I22" i="4"/>
  <c r="I21" i="4"/>
  <c r="I14" i="3" s="1"/>
  <c r="I17" i="4"/>
  <c r="F16" i="3" s="1"/>
  <c r="I16" i="4"/>
  <c r="I15" i="4"/>
  <c r="F14" i="3" s="1"/>
  <c r="F22" i="3" s="1"/>
  <c r="I10" i="4"/>
  <c r="F10" i="4"/>
  <c r="C10" i="4"/>
  <c r="F8" i="4"/>
  <c r="C8" i="4"/>
  <c r="F6" i="4"/>
  <c r="C6" i="4"/>
  <c r="F4" i="4"/>
  <c r="C4" i="4"/>
  <c r="F2" i="4"/>
  <c r="C2" i="4"/>
  <c r="I17" i="3"/>
  <c r="C17" i="3"/>
  <c r="I15" i="3"/>
  <c r="F15" i="3"/>
  <c r="I10" i="3"/>
  <c r="F10" i="3"/>
  <c r="C10" i="3"/>
  <c r="F8" i="3"/>
  <c r="C8" i="3"/>
  <c r="F6" i="3"/>
  <c r="C6" i="3"/>
  <c r="F4" i="3"/>
  <c r="C4" i="3"/>
  <c r="F2" i="3"/>
  <c r="C2" i="3"/>
  <c r="N17" i="2"/>
  <c r="N16" i="2"/>
  <c r="N15" i="2"/>
  <c r="N14" i="2"/>
  <c r="N13" i="2"/>
  <c r="N12" i="2"/>
  <c r="J8" i="2"/>
  <c r="H8" i="2"/>
  <c r="D8" i="2"/>
  <c r="J6" i="2"/>
  <c r="H6" i="2"/>
  <c r="D6" i="2"/>
  <c r="J4" i="2"/>
  <c r="H4" i="2"/>
  <c r="D4" i="2"/>
  <c r="J2" i="2"/>
  <c r="H2" i="2"/>
  <c r="D2" i="2"/>
  <c r="P62" i="1"/>
  <c r="N62" i="1"/>
  <c r="L62" i="1"/>
  <c r="P61" i="1"/>
  <c r="P60" i="1"/>
  <c r="L60" i="1"/>
  <c r="N60" i="1" s="1"/>
  <c r="P59" i="1"/>
  <c r="N59" i="1"/>
  <c r="L59" i="1"/>
  <c r="N58" i="1"/>
  <c r="P57" i="1"/>
  <c r="N57" i="1"/>
  <c r="L57" i="1"/>
  <c r="P56" i="1"/>
  <c r="N55" i="1"/>
  <c r="P54" i="1"/>
  <c r="N53" i="1"/>
  <c r="P52" i="1"/>
  <c r="P51" i="1"/>
  <c r="L51" i="1"/>
  <c r="N51" i="1" s="1"/>
  <c r="P50" i="1"/>
  <c r="N50" i="1"/>
  <c r="L50" i="1"/>
  <c r="P49" i="1"/>
  <c r="P48" i="1"/>
  <c r="L48" i="1"/>
  <c r="N48" i="1" s="1"/>
  <c r="P47" i="1"/>
  <c r="L47" i="1"/>
  <c r="N47" i="1" s="1"/>
  <c r="P46" i="1"/>
  <c r="N46" i="1"/>
  <c r="L46" i="1"/>
  <c r="P45" i="1"/>
  <c r="L45" i="1"/>
  <c r="N45" i="1" s="1"/>
  <c r="N44" i="1"/>
  <c r="P43" i="1"/>
  <c r="P42" i="1"/>
  <c r="P41" i="1"/>
  <c r="L41" i="1"/>
  <c r="N41" i="1" s="1"/>
  <c r="P40" i="1"/>
  <c r="L40" i="1"/>
  <c r="N40" i="1" s="1"/>
  <c r="P39" i="1"/>
  <c r="P38" i="1"/>
  <c r="N38" i="1"/>
  <c r="P37" i="1"/>
  <c r="L37" i="1"/>
  <c r="N37" i="1" s="1"/>
  <c r="P36" i="1"/>
  <c r="P35" i="1"/>
  <c r="P34" i="1"/>
  <c r="P33" i="1"/>
  <c r="P32" i="1"/>
  <c r="L32" i="1"/>
  <c r="N32" i="1" s="1"/>
  <c r="N31" i="1"/>
  <c r="P30" i="1"/>
  <c r="P29" i="1"/>
  <c r="P28" i="1"/>
  <c r="P27" i="1"/>
  <c r="L27" i="1"/>
  <c r="N27" i="1" s="1"/>
  <c r="P26" i="1"/>
  <c r="P25" i="1"/>
  <c r="L25" i="1"/>
  <c r="N25" i="1" s="1"/>
  <c r="P24" i="1"/>
  <c r="N23" i="1"/>
  <c r="P22" i="1"/>
  <c r="L22" i="1"/>
  <c r="N22" i="1" s="1"/>
  <c r="P21" i="1"/>
  <c r="P20" i="1"/>
  <c r="P19" i="1"/>
  <c r="P18" i="1"/>
  <c r="L18" i="1"/>
  <c r="N18" i="1" s="1"/>
  <c r="P17" i="1"/>
  <c r="P16" i="1"/>
  <c r="P15" i="1"/>
  <c r="P14" i="1"/>
  <c r="P13" i="1"/>
  <c r="N12" i="1"/>
  <c r="J8" i="1"/>
  <c r="H8" i="1"/>
  <c r="D8" i="1"/>
  <c r="J6" i="1"/>
  <c r="H6" i="1"/>
  <c r="D6" i="1"/>
  <c r="J4" i="1"/>
  <c r="H4" i="1"/>
  <c r="D4" i="1"/>
  <c r="J2" i="1"/>
  <c r="H2" i="1"/>
  <c r="D2" i="1"/>
  <c r="I45" i="4" l="1"/>
  <c r="I24" i="3" s="1"/>
  <c r="BC38" i="5"/>
  <c r="BC22" i="5"/>
  <c r="AU13" i="5"/>
  <c r="BC43" i="5"/>
  <c r="BH69" i="5"/>
  <c r="AB69" i="5" s="1"/>
  <c r="AW69" i="5"/>
  <c r="BH92" i="5"/>
  <c r="AB92" i="5" s="1"/>
  <c r="AW92" i="5"/>
  <c r="BH118" i="5"/>
  <c r="AB118" i="5" s="1"/>
  <c r="AW118" i="5"/>
  <c r="BC24" i="5"/>
  <c r="AL69" i="5"/>
  <c r="AU68" i="5" s="1"/>
  <c r="I68" i="5"/>
  <c r="BC84" i="5"/>
  <c r="AV84" i="5"/>
  <c r="BI90" i="5"/>
  <c r="AC90" i="5" s="1"/>
  <c r="AX90" i="5"/>
  <c r="AV90" i="5" s="1"/>
  <c r="AS33" i="5"/>
  <c r="AS49" i="5"/>
  <c r="BH180" i="5"/>
  <c r="AB180" i="5" s="1"/>
  <c r="AW180" i="5"/>
  <c r="BI48" i="5"/>
  <c r="AC48" i="5" s="1"/>
  <c r="AX48" i="5"/>
  <c r="AW78" i="5"/>
  <c r="AV95" i="5"/>
  <c r="I18" i="4"/>
  <c r="F29" i="4" s="1"/>
  <c r="AW26" i="5"/>
  <c r="BH32" i="5"/>
  <c r="AB32" i="5" s="1"/>
  <c r="AW32" i="5"/>
  <c r="BC40" i="5"/>
  <c r="AX46" i="5"/>
  <c r="AW50" i="5"/>
  <c r="BI61" i="5"/>
  <c r="AC61" i="5" s="1"/>
  <c r="AX61" i="5"/>
  <c r="BI88" i="5"/>
  <c r="AC88" i="5" s="1"/>
  <c r="AX88" i="5"/>
  <c r="AV195" i="5"/>
  <c r="BC195" i="5"/>
  <c r="BC206" i="5"/>
  <c r="AV206" i="5"/>
  <c r="BI14" i="5"/>
  <c r="AC14" i="5" s="1"/>
  <c r="BI24" i="5"/>
  <c r="AC24" i="5" s="1"/>
  <c r="AX26" i="5"/>
  <c r="AT28" i="5"/>
  <c r="AX52" i="5"/>
  <c r="AV57" i="5"/>
  <c r="AW61" i="5"/>
  <c r="AX74" i="5"/>
  <c r="BC86" i="5"/>
  <c r="AV86" i="5"/>
  <c r="AW88" i="5"/>
  <c r="BI101" i="5"/>
  <c r="AC101" i="5" s="1"/>
  <c r="BH102" i="5"/>
  <c r="AB102" i="5" s="1"/>
  <c r="AW102" i="5"/>
  <c r="AX135" i="5"/>
  <c r="AV135" i="5" s="1"/>
  <c r="BI135" i="5"/>
  <c r="AC135" i="5" s="1"/>
  <c r="I198" i="5"/>
  <c r="AU234" i="5"/>
  <c r="AV169" i="5"/>
  <c r="BC169" i="5"/>
  <c r="AU109" i="5"/>
  <c r="AX17" i="5"/>
  <c r="AV17" i="5" s="1"/>
  <c r="I33" i="5"/>
  <c r="L17" i="1" s="1"/>
  <c r="N17" i="1" s="1"/>
  <c r="BI115" i="5"/>
  <c r="AC115" i="5" s="1"/>
  <c r="AX115" i="5"/>
  <c r="AW16" i="5"/>
  <c r="AW21" i="5"/>
  <c r="AW30" i="5"/>
  <c r="BC34" i="5"/>
  <c r="AV39" i="5"/>
  <c r="I44" i="5"/>
  <c r="L19" i="1" s="1"/>
  <c r="N19" i="1" s="1"/>
  <c r="BC55" i="5"/>
  <c r="BC66" i="5"/>
  <c r="BH95" i="5"/>
  <c r="AB95" i="5" s="1"/>
  <c r="BI246" i="5"/>
  <c r="AC246" i="5" s="1"/>
  <c r="AX246" i="5"/>
  <c r="AV185" i="5"/>
  <c r="BC185" i="5"/>
  <c r="BH107" i="5"/>
  <c r="AB107" i="5" s="1"/>
  <c r="AW107" i="5"/>
  <c r="BC14" i="5"/>
  <c r="BI78" i="5"/>
  <c r="AC78" i="5" s="1"/>
  <c r="AX78" i="5"/>
  <c r="BC245" i="5"/>
  <c r="BH77" i="5"/>
  <c r="AB77" i="5" s="1"/>
  <c r="AW77" i="5"/>
  <c r="BC82" i="5"/>
  <c r="I93" i="5"/>
  <c r="L30" i="1" s="1"/>
  <c r="N30" i="1" s="1"/>
  <c r="BC100" i="5"/>
  <c r="AV100" i="5"/>
  <c r="BI108" i="5"/>
  <c r="AC108" i="5" s="1"/>
  <c r="AX108" i="5"/>
  <c r="AV108" i="5" s="1"/>
  <c r="BC213" i="5"/>
  <c r="AV213" i="5"/>
  <c r="BI221" i="5"/>
  <c r="AC221" i="5" s="1"/>
  <c r="AX221" i="5"/>
  <c r="BC221" i="5" s="1"/>
  <c r="BC246" i="5"/>
  <c r="BH37" i="5"/>
  <c r="AB37" i="5" s="1"/>
  <c r="AW37" i="5"/>
  <c r="BH52" i="5"/>
  <c r="AB52" i="5" s="1"/>
  <c r="AW52" i="5"/>
  <c r="AV226" i="5"/>
  <c r="AW46" i="5"/>
  <c r="BH27" i="5"/>
  <c r="AB27" i="5" s="1"/>
  <c r="C14" i="3" s="1"/>
  <c r="AW27" i="5"/>
  <c r="BI38" i="5"/>
  <c r="AC38" i="5" s="1"/>
  <c r="AX38" i="5"/>
  <c r="AV38" i="5" s="1"/>
  <c r="BI43" i="5"/>
  <c r="AC43" i="5" s="1"/>
  <c r="AX43" i="5"/>
  <c r="AV43" i="5" s="1"/>
  <c r="AV45" i="5"/>
  <c r="AV54" i="5"/>
  <c r="BC59" i="5"/>
  <c r="BH62" i="5"/>
  <c r="AB62" i="5" s="1"/>
  <c r="AW62" i="5"/>
  <c r="I76" i="5"/>
  <c r="L26" i="1" s="1"/>
  <c r="N26" i="1" s="1"/>
  <c r="BC85" i="5"/>
  <c r="BH89" i="5"/>
  <c r="AB89" i="5" s="1"/>
  <c r="AW89" i="5"/>
  <c r="BC94" i="5"/>
  <c r="AV94" i="5"/>
  <c r="BC108" i="5"/>
  <c r="AV221" i="5"/>
  <c r="BI225" i="5"/>
  <c r="AC225" i="5" s="1"/>
  <c r="AX225" i="5"/>
  <c r="BC225" i="5" s="1"/>
  <c r="BH74" i="5"/>
  <c r="AB74" i="5" s="1"/>
  <c r="AW74" i="5"/>
  <c r="BC129" i="5"/>
  <c r="AX22" i="5"/>
  <c r="AV22" i="5" s="1"/>
  <c r="AX69" i="5"/>
  <c r="I28" i="5"/>
  <c r="L16" i="1" s="1"/>
  <c r="N16" i="1" s="1"/>
  <c r="AV29" i="5"/>
  <c r="AX36" i="5"/>
  <c r="AV36" i="5" s="1"/>
  <c r="BI75" i="5"/>
  <c r="AC75" i="5" s="1"/>
  <c r="AX75" i="5"/>
  <c r="AT81" i="5"/>
  <c r="BH87" i="5"/>
  <c r="AB87" i="5" s="1"/>
  <c r="AW87" i="5"/>
  <c r="BC114" i="5"/>
  <c r="AV114" i="5"/>
  <c r="BC152" i="5"/>
  <c r="AV152" i="5"/>
  <c r="AU198" i="5"/>
  <c r="BC200" i="5"/>
  <c r="AV200" i="5"/>
  <c r="AV225" i="5"/>
  <c r="AV218" i="5"/>
  <c r="BC53" i="5"/>
  <c r="AL83" i="5"/>
  <c r="AU81" i="5" s="1"/>
  <c r="I81" i="5"/>
  <c r="L28" i="1" s="1"/>
  <c r="N28" i="1" s="1"/>
  <c r="BH104" i="5"/>
  <c r="AB104" i="5" s="1"/>
  <c r="AW104" i="5"/>
  <c r="BH72" i="5"/>
  <c r="AB72" i="5" s="1"/>
  <c r="AW72" i="5"/>
  <c r="BH47" i="5"/>
  <c r="AB47" i="5" s="1"/>
  <c r="AW47" i="5"/>
  <c r="AW15" i="5"/>
  <c r="AW20" i="5"/>
  <c r="AW25" i="5"/>
  <c r="AX47" i="5"/>
  <c r="AW51" i="5"/>
  <c r="BI53" i="5"/>
  <c r="AC53" i="5" s="1"/>
  <c r="AX53" i="5"/>
  <c r="AV53" i="5" s="1"/>
  <c r="AV56" i="5"/>
  <c r="BI73" i="5"/>
  <c r="AC73" i="5" s="1"/>
  <c r="AX73" i="5"/>
  <c r="BC83" i="5"/>
  <c r="AV83" i="5"/>
  <c r="AV85" i="5"/>
  <c r="BC96" i="5"/>
  <c r="AV96" i="5"/>
  <c r="AU99" i="5"/>
  <c r="AV117" i="5"/>
  <c r="BH161" i="5"/>
  <c r="AB161" i="5" s="1"/>
  <c r="AW161" i="5"/>
  <c r="AV171" i="5"/>
  <c r="BC171" i="5"/>
  <c r="BH97" i="5"/>
  <c r="AB97" i="5" s="1"/>
  <c r="AW97" i="5"/>
  <c r="BC31" i="5"/>
  <c r="BI162" i="5"/>
  <c r="AC162" i="5" s="1"/>
  <c r="AX162" i="5"/>
  <c r="BC162" i="5" s="1"/>
  <c r="AX37" i="5"/>
  <c r="BI63" i="5"/>
  <c r="AC63" i="5" s="1"/>
  <c r="AX63" i="5"/>
  <c r="I19" i="5"/>
  <c r="L14" i="1" s="1"/>
  <c r="N14" i="1" s="1"/>
  <c r="I27" i="4"/>
  <c r="I13" i="5"/>
  <c r="AX15" i="5"/>
  <c r="AX18" i="5"/>
  <c r="AX20" i="5"/>
  <c r="I23" i="5"/>
  <c r="L15" i="1" s="1"/>
  <c r="N15" i="1" s="1"/>
  <c r="AX27" i="5"/>
  <c r="BC41" i="5"/>
  <c r="AX51" i="5"/>
  <c r="AX62" i="5"/>
  <c r="BC65" i="5"/>
  <c r="BC71" i="5"/>
  <c r="AV71" i="5"/>
  <c r="AW73" i="5"/>
  <c r="AV80" i="5"/>
  <c r="AX89" i="5"/>
  <c r="AL92" i="5"/>
  <c r="AU91" i="5" s="1"/>
  <c r="BI103" i="5"/>
  <c r="AC103" i="5" s="1"/>
  <c r="AX103" i="5"/>
  <c r="AV103" i="5" s="1"/>
  <c r="I105" i="5"/>
  <c r="L33" i="1" s="1"/>
  <c r="N33" i="1" s="1"/>
  <c r="BC110" i="5"/>
  <c r="AV110" i="5"/>
  <c r="AV131" i="5"/>
  <c r="BC131" i="5"/>
  <c r="BC147" i="5"/>
  <c r="AV147" i="5"/>
  <c r="BC183" i="5"/>
  <c r="AV183" i="5"/>
  <c r="BH213" i="5"/>
  <c r="AB213" i="5" s="1"/>
  <c r="AU122" i="5"/>
  <c r="BC133" i="5"/>
  <c r="AV133" i="5"/>
  <c r="AU149" i="5"/>
  <c r="AV154" i="5"/>
  <c r="BC160" i="5"/>
  <c r="AV160" i="5"/>
  <c r="AV175" i="5"/>
  <c r="BC209" i="5"/>
  <c r="AV209" i="5"/>
  <c r="AV231" i="5"/>
  <c r="BC112" i="5"/>
  <c r="AV112" i="5"/>
  <c r="BC123" i="5"/>
  <c r="AU142" i="5"/>
  <c r="I157" i="5"/>
  <c r="L43" i="1" s="1"/>
  <c r="N43" i="1" s="1"/>
  <c r="BC187" i="5"/>
  <c r="AV187" i="5"/>
  <c r="BC204" i="5"/>
  <c r="AV204" i="5"/>
  <c r="BI220" i="5"/>
  <c r="AC220" i="5" s="1"/>
  <c r="AX220" i="5"/>
  <c r="BI224" i="5"/>
  <c r="AC224" i="5" s="1"/>
  <c r="AX224" i="5"/>
  <c r="BI228" i="5"/>
  <c r="AC228" i="5" s="1"/>
  <c r="AX228" i="5"/>
  <c r="AV235" i="5"/>
  <c r="AV237" i="5"/>
  <c r="AW115" i="5"/>
  <c r="AT122" i="5"/>
  <c r="BH133" i="5"/>
  <c r="AB133" i="5" s="1"/>
  <c r="BC134" i="5"/>
  <c r="AV134" i="5"/>
  <c r="BC138" i="5"/>
  <c r="AV138" i="5"/>
  <c r="BC143" i="5"/>
  <c r="AV145" i="5"/>
  <c r="BI182" i="5"/>
  <c r="AC182" i="5" s="1"/>
  <c r="AX182" i="5"/>
  <c r="BI199" i="5"/>
  <c r="AC199" i="5" s="1"/>
  <c r="AX199" i="5"/>
  <c r="BI206" i="5"/>
  <c r="AC206" i="5" s="1"/>
  <c r="BI213" i="5"/>
  <c r="AC213" i="5" s="1"/>
  <c r="AV239" i="5"/>
  <c r="AV246" i="5"/>
  <c r="AW101" i="5"/>
  <c r="AX102" i="5"/>
  <c r="AW106" i="5"/>
  <c r="AX107" i="5"/>
  <c r="AW111" i="5"/>
  <c r="AX118" i="5"/>
  <c r="AU127" i="5"/>
  <c r="AW159" i="5"/>
  <c r="AS168" i="5"/>
  <c r="AT198" i="5"/>
  <c r="AW208" i="5"/>
  <c r="BI219" i="5"/>
  <c r="AC219" i="5" s="1"/>
  <c r="AX219" i="5"/>
  <c r="BC219" i="5" s="1"/>
  <c r="BI223" i="5"/>
  <c r="AC223" i="5" s="1"/>
  <c r="AX223" i="5"/>
  <c r="BC223" i="5" s="1"/>
  <c r="BI227" i="5"/>
  <c r="AC227" i="5" s="1"/>
  <c r="AX227" i="5"/>
  <c r="BC227" i="5" s="1"/>
  <c r="BI231" i="5"/>
  <c r="AC231" i="5" s="1"/>
  <c r="BI117" i="5"/>
  <c r="AC117" i="5" s="1"/>
  <c r="AX117" i="5"/>
  <c r="BC117" i="5" s="1"/>
  <c r="AV128" i="5"/>
  <c r="AT142" i="5"/>
  <c r="BC150" i="5"/>
  <c r="AX161" i="5"/>
  <c r="AL179" i="5"/>
  <c r="AU178" i="5" s="1"/>
  <c r="AX180" i="5"/>
  <c r="AV201" i="5"/>
  <c r="I211" i="5"/>
  <c r="AV219" i="5"/>
  <c r="AV233" i="5"/>
  <c r="AV241" i="5"/>
  <c r="BI245" i="5"/>
  <c r="AC245" i="5" s="1"/>
  <c r="AX245" i="5"/>
  <c r="AV245" i="5" s="1"/>
  <c r="BC132" i="5"/>
  <c r="AV132" i="5"/>
  <c r="BC148" i="5"/>
  <c r="AV148" i="5"/>
  <c r="BH156" i="5"/>
  <c r="AB156" i="5" s="1"/>
  <c r="AW156" i="5"/>
  <c r="BC174" i="5"/>
  <c r="BC194" i="5"/>
  <c r="AS192" i="5"/>
  <c r="BC205" i="5"/>
  <c r="AV205" i="5"/>
  <c r="BC212" i="5"/>
  <c r="AV212" i="5"/>
  <c r="I216" i="5"/>
  <c r="L58" i="1" s="1"/>
  <c r="P58" i="1" s="1"/>
  <c r="BC243" i="5"/>
  <c r="BC113" i="5"/>
  <c r="BH134" i="5"/>
  <c r="AB134" i="5" s="1"/>
  <c r="BH138" i="5"/>
  <c r="AB138" i="5" s="1"/>
  <c r="AT149" i="5"/>
  <c r="BC167" i="5"/>
  <c r="AV167" i="5"/>
  <c r="BH181" i="5"/>
  <c r="AB181" i="5" s="1"/>
  <c r="AW181" i="5"/>
  <c r="BC190" i="5"/>
  <c r="AS198" i="5"/>
  <c r="BI218" i="5"/>
  <c r="AC218" i="5" s="1"/>
  <c r="AX218" i="5"/>
  <c r="BC218" i="5" s="1"/>
  <c r="BI222" i="5"/>
  <c r="AC222" i="5" s="1"/>
  <c r="AX222" i="5"/>
  <c r="BC222" i="5" s="1"/>
  <c r="BI226" i="5"/>
  <c r="AC226" i="5" s="1"/>
  <c r="AX226" i="5"/>
  <c r="BC226" i="5" s="1"/>
  <c r="BI230" i="5"/>
  <c r="AC230" i="5" s="1"/>
  <c r="AV236" i="5"/>
  <c r="BH116" i="5"/>
  <c r="AB116" i="5" s="1"/>
  <c r="AW116" i="5"/>
  <c r="AT127" i="5"/>
  <c r="BI134" i="5"/>
  <c r="AC134" i="5" s="1"/>
  <c r="AW136" i="5"/>
  <c r="BC141" i="5"/>
  <c r="AL156" i="5"/>
  <c r="AU155" i="5" s="1"/>
  <c r="I155" i="5"/>
  <c r="L42" i="1" s="1"/>
  <c r="N42" i="1" s="1"/>
  <c r="BC172" i="5"/>
  <c r="AV172" i="5"/>
  <c r="BC184" i="5"/>
  <c r="AS178" i="5"/>
  <c r="AV232" i="5"/>
  <c r="AV238" i="5"/>
  <c r="AV113" i="5"/>
  <c r="BC124" i="5"/>
  <c r="BC135" i="5"/>
  <c r="AX156" i="5"/>
  <c r="AV170" i="5"/>
  <c r="BI177" i="5"/>
  <c r="AC177" i="5" s="1"/>
  <c r="AX177" i="5"/>
  <c r="AW179" i="5"/>
  <c r="BC193" i="5"/>
  <c r="BI233" i="5"/>
  <c r="AC233" i="5" s="1"/>
  <c r="BH131" i="5"/>
  <c r="AB131" i="5" s="1"/>
  <c r="BH141" i="5"/>
  <c r="AB141" i="5" s="1"/>
  <c r="BH146" i="5"/>
  <c r="AB146" i="5" s="1"/>
  <c r="BI147" i="5"/>
  <c r="AC147" i="5" s="1"/>
  <c r="BH151" i="5"/>
  <c r="AB151" i="5" s="1"/>
  <c r="BI152" i="5"/>
  <c r="AC152" i="5" s="1"/>
  <c r="BI167" i="5"/>
  <c r="AC167" i="5" s="1"/>
  <c r="BH171" i="5"/>
  <c r="AB171" i="5" s="1"/>
  <c r="BI172" i="5"/>
  <c r="AC172" i="5" s="1"/>
  <c r="I234" i="5"/>
  <c r="L61" i="1" s="1"/>
  <c r="N61" i="1" s="1"/>
  <c r="BH243" i="5"/>
  <c r="AB243" i="5" s="1"/>
  <c r="I122" i="5"/>
  <c r="L35" i="1" s="1"/>
  <c r="N35" i="1" s="1"/>
  <c r="I127" i="5"/>
  <c r="L36" i="1" s="1"/>
  <c r="N36" i="1" s="1"/>
  <c r="I142" i="5"/>
  <c r="L39" i="1" s="1"/>
  <c r="N39" i="1" s="1"/>
  <c r="I192" i="5"/>
  <c r="L52" i="1" s="1"/>
  <c r="N52" i="1" s="1"/>
  <c r="I176" i="5"/>
  <c r="L49" i="1" s="1"/>
  <c r="N49" i="1" s="1"/>
  <c r="AV18" i="5" l="1"/>
  <c r="BC18" i="5"/>
  <c r="I67" i="5"/>
  <c r="L24" i="1"/>
  <c r="N24" i="1" s="1"/>
  <c r="BC52" i="5"/>
  <c r="AV52" i="5"/>
  <c r="BC97" i="5"/>
  <c r="AV97" i="5"/>
  <c r="AV46" i="5"/>
  <c r="BC46" i="5"/>
  <c r="BC47" i="5"/>
  <c r="AV47" i="5"/>
  <c r="BC107" i="5"/>
  <c r="AV107" i="5"/>
  <c r="I163" i="5"/>
  <c r="BC101" i="5"/>
  <c r="AV101" i="5"/>
  <c r="BC220" i="5"/>
  <c r="AV220" i="5"/>
  <c r="AV78" i="5"/>
  <c r="BC78" i="5"/>
  <c r="AV73" i="5"/>
  <c r="BC73" i="5"/>
  <c r="I247" i="5"/>
  <c r="I12" i="5"/>
  <c r="L13" i="1"/>
  <c r="N13" i="1" s="1"/>
  <c r="BC72" i="5"/>
  <c r="AV72" i="5"/>
  <c r="AV61" i="5"/>
  <c r="BC61" i="5"/>
  <c r="BC48" i="5"/>
  <c r="AV48" i="5"/>
  <c r="BC111" i="5"/>
  <c r="AV111" i="5"/>
  <c r="BC106" i="5"/>
  <c r="AV106" i="5"/>
  <c r="BC116" i="5"/>
  <c r="AV116" i="5"/>
  <c r="BC25" i="5"/>
  <c r="AV25" i="5"/>
  <c r="AV27" i="5"/>
  <c r="BC27" i="5"/>
  <c r="BC224" i="5"/>
  <c r="AV224" i="5"/>
  <c r="BC21" i="5"/>
  <c r="AV21" i="5"/>
  <c r="BC103" i="5"/>
  <c r="BC16" i="5"/>
  <c r="AV16" i="5"/>
  <c r="BC50" i="5"/>
  <c r="AV50" i="5"/>
  <c r="BC92" i="5"/>
  <c r="AV92" i="5"/>
  <c r="BC90" i="5"/>
  <c r="AV75" i="5"/>
  <c r="BC75" i="5"/>
  <c r="BC15" i="5"/>
  <c r="AV15" i="5"/>
  <c r="C29" i="3"/>
  <c r="BC136" i="5"/>
  <c r="AV136" i="5"/>
  <c r="BC118" i="5"/>
  <c r="AV118" i="5"/>
  <c r="BC104" i="5"/>
  <c r="AV104" i="5"/>
  <c r="I98" i="5"/>
  <c r="AV37" i="5"/>
  <c r="BC37" i="5"/>
  <c r="I197" i="5"/>
  <c r="L54" i="1"/>
  <c r="N54" i="1" s="1"/>
  <c r="BC180" i="5"/>
  <c r="AV180" i="5"/>
  <c r="BC63" i="5"/>
  <c r="AV63" i="5"/>
  <c r="AV227" i="5"/>
  <c r="BC159" i="5"/>
  <c r="AV159" i="5"/>
  <c r="BC199" i="5"/>
  <c r="AV199" i="5"/>
  <c r="BC115" i="5"/>
  <c r="AV115" i="5"/>
  <c r="AV51" i="5"/>
  <c r="BC51" i="5"/>
  <c r="BC74" i="5"/>
  <c r="AV74" i="5"/>
  <c r="BC77" i="5"/>
  <c r="AV77" i="5"/>
  <c r="AV162" i="5"/>
  <c r="I210" i="5"/>
  <c r="L56" i="1"/>
  <c r="N56" i="1" s="1"/>
  <c r="BC20" i="5"/>
  <c r="AV20" i="5"/>
  <c r="AV88" i="5"/>
  <c r="BC88" i="5"/>
  <c r="BC62" i="5"/>
  <c r="AV62" i="5"/>
  <c r="AV181" i="5"/>
  <c r="BC181" i="5"/>
  <c r="BC208" i="5"/>
  <c r="AV208" i="5"/>
  <c r="BC161" i="5"/>
  <c r="AV161" i="5"/>
  <c r="BC30" i="5"/>
  <c r="AV30" i="5"/>
  <c r="BC179" i="5"/>
  <c r="AV179" i="5"/>
  <c r="AV223" i="5"/>
  <c r="BC87" i="5"/>
  <c r="AV87" i="5"/>
  <c r="BC89" i="5"/>
  <c r="AV89" i="5"/>
  <c r="BC102" i="5"/>
  <c r="AV102" i="5"/>
  <c r="BC69" i="5"/>
  <c r="AV69" i="5"/>
  <c r="BC17" i="5"/>
  <c r="BC228" i="5"/>
  <c r="AV228" i="5"/>
  <c r="AV26" i="5"/>
  <c r="BC26" i="5"/>
  <c r="AV177" i="5"/>
  <c r="BC177" i="5"/>
  <c r="AV156" i="5"/>
  <c r="BC156" i="5"/>
  <c r="BC182" i="5"/>
  <c r="AV182" i="5"/>
  <c r="BC36" i="5"/>
  <c r="AV222" i="5"/>
  <c r="C15" i="3"/>
  <c r="C22" i="3" s="1"/>
  <c r="BC32" i="5"/>
  <c r="AV32" i="5"/>
  <c r="F29" i="3" l="1"/>
  <c r="I28" i="3"/>
  <c r="L14" i="2"/>
  <c r="P14" i="2" s="1"/>
  <c r="L31" i="1"/>
  <c r="P31" i="1" s="1"/>
  <c r="L55" i="1"/>
  <c r="P55" i="1" s="1"/>
  <c r="L17" i="2"/>
  <c r="P17" i="2" s="1"/>
  <c r="L13" i="2"/>
  <c r="P13" i="2" s="1"/>
  <c r="L23" i="1"/>
  <c r="P23" i="1" s="1"/>
  <c r="L63" i="1"/>
  <c r="L16" i="2"/>
  <c r="P16" i="2" s="1"/>
  <c r="L53" i="1"/>
  <c r="P53" i="1" s="1"/>
  <c r="L15" i="2"/>
  <c r="P15" i="2" s="1"/>
  <c r="L44" i="1"/>
  <c r="P44" i="1" s="1"/>
  <c r="L12" i="1"/>
  <c r="P12" i="1" s="1"/>
  <c r="L12" i="2"/>
  <c r="P12" i="2" s="1"/>
  <c r="L18" i="2" l="1"/>
  <c r="I29" i="3"/>
</calcChain>
</file>

<file path=xl/sharedStrings.xml><?xml version="1.0" encoding="utf-8"?>
<sst xmlns="http://schemas.openxmlformats.org/spreadsheetml/2006/main" count="3009" uniqueCount="646">
  <si>
    <t>Slepý stavební rozpočet - Jen podskupiny</t>
  </si>
  <si>
    <t>Název stavby:</t>
  </si>
  <si>
    <t>Doba výstavby:</t>
  </si>
  <si>
    <t>Objednatel:</t>
  </si>
  <si>
    <t>Druh stavby:</t>
  </si>
  <si>
    <t>Začátek výstavby:</t>
  </si>
  <si>
    <t>Projektant:</t>
  </si>
  <si>
    <t>Lokalita:</t>
  </si>
  <si>
    <t>Konec výstavby:</t>
  </si>
  <si>
    <t>Zhotovitel:</t>
  </si>
  <si>
    <t>JKSO:</t>
  </si>
  <si>
    <t>Zpracováno dne:</t>
  </si>
  <si>
    <t>Zpracoval:</t>
  </si>
  <si>
    <t xml:space="preserve"> </t>
  </si>
  <si>
    <t>Náklady (Kč)</t>
  </si>
  <si>
    <t>Objekt</t>
  </si>
  <si>
    <t>Kód</t>
  </si>
  <si>
    <t>Zkrácený popis</t>
  </si>
  <si>
    <t>Celkem</t>
  </si>
  <si>
    <t>SO101</t>
  </si>
  <si>
    <t/>
  </si>
  <si>
    <t>Úpravy silnice I/57H</t>
  </si>
  <si>
    <t>F</t>
  </si>
  <si>
    <t>11</t>
  </si>
  <si>
    <t>Přípravné a přidružené práce</t>
  </si>
  <si>
    <t>T</t>
  </si>
  <si>
    <t>12</t>
  </si>
  <si>
    <t>Odkopávky a prokopávky</t>
  </si>
  <si>
    <t>16</t>
  </si>
  <si>
    <t>Přemístění výkopku</t>
  </si>
  <si>
    <t>17</t>
  </si>
  <si>
    <t>Konstrukce ze zemin</t>
  </si>
  <si>
    <t>18</t>
  </si>
  <si>
    <t>Povrchové úpravy terénu</t>
  </si>
  <si>
    <t>27</t>
  </si>
  <si>
    <t>Základy</t>
  </si>
  <si>
    <t>57</t>
  </si>
  <si>
    <t>Kryty pozemních komunikací, letišť a ploch z kameniva nebo živičné</t>
  </si>
  <si>
    <t>91</t>
  </si>
  <si>
    <t>Doplňující konstrukce a práce na pozemních komunikacích a zpevněných plochách</t>
  </si>
  <si>
    <t>99</t>
  </si>
  <si>
    <t>Přesun hmot</t>
  </si>
  <si>
    <t>S</t>
  </si>
  <si>
    <t>Přesuny sutí</t>
  </si>
  <si>
    <t>SO101.1</t>
  </si>
  <si>
    <t>Trvalé dopravní značení</t>
  </si>
  <si>
    <t>13</t>
  </si>
  <si>
    <t>Hloubené vykopávky</t>
  </si>
  <si>
    <t>96</t>
  </si>
  <si>
    <t>Bourání konstrukcí</t>
  </si>
  <si>
    <t>SO102</t>
  </si>
  <si>
    <t>Ostatní komunikace</t>
  </si>
  <si>
    <t>56</t>
  </si>
  <si>
    <t>Podkladní vrstvy komunikací, letišť a ploch</t>
  </si>
  <si>
    <t>59</t>
  </si>
  <si>
    <t>Kryty pozemních komunikací, letišť a ploch dlážděných (předlažby)</t>
  </si>
  <si>
    <t>SO102.1</t>
  </si>
  <si>
    <t>21</t>
  </si>
  <si>
    <t>Úprava podloží a základové spáry</t>
  </si>
  <si>
    <t>SO401</t>
  </si>
  <si>
    <t>Veřejné osvětlení</t>
  </si>
  <si>
    <t>M21</t>
  </si>
  <si>
    <t>Elektromontáže</t>
  </si>
  <si>
    <t>VRN</t>
  </si>
  <si>
    <t>Vedlejší rozpočtové náklady</t>
  </si>
  <si>
    <t>93</t>
  </si>
  <si>
    <t>Různé dokončovací konstrukce a práce inženýrských staveb</t>
  </si>
  <si>
    <t>VORN</t>
  </si>
  <si>
    <t>Vedlejší a ostatní rozpočtové náklady</t>
  </si>
  <si>
    <t>01VRN</t>
  </si>
  <si>
    <t>Průzkumy, geodetické a projektové práce</t>
  </si>
  <si>
    <t>02VRN</t>
  </si>
  <si>
    <t>Příprava staveniště</t>
  </si>
  <si>
    <t>03VRN</t>
  </si>
  <si>
    <t>Zařízení staveniště</t>
  </si>
  <si>
    <t>04VRN</t>
  </si>
  <si>
    <t>Inženýrské činnosti</t>
  </si>
  <si>
    <t>Celkem:</t>
  </si>
  <si>
    <t>Poznámka:</t>
  </si>
  <si>
    <t>Slepý stavební rozpočet - Jen objekty celkem</t>
  </si>
  <si>
    <t>Krycí list slepého rozpočtu</t>
  </si>
  <si>
    <t>IČO/DIČ:</t>
  </si>
  <si>
    <t>00296139/CZ00296139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</si>
  <si>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</si>
  <si>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</si>
  <si>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</si>
  <si>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</si>
  <si>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</si>
  <si>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</si>
  <si>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</si>
  <si>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</si>
  <si>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</si>
  <si>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</si>
  <si>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</si>
  <si>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</si>
  <si>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</si>
  <si>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</si>
  <si>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</si>
  <si>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</si>
  <si>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</si>
  <si>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</si>
  <si>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</si>
  <si>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</si>
  <si>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</si>
  <si>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</si>
  <si>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</si>
  <si>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</si>
  <si>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</si>
  <si>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</si>
  <si>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</si>
  <si>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</si>
  <si>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</si>
  <si>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</si>
  <si>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</si>
  <si>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</si>
  <si>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</si>
  <si>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</si>
  <si>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</si>
  <si>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</si>
  <si>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</si>
  <si>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</si>
  <si>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</si>
  <si>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</si>
  <si>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</si>
  <si>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</si>
  <si>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</si>
  <si>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</si>
  <si>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</si>
  <si>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</si>
  <si>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</si>
  <si>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</si>
  <si>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</si>
  <si>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</si>
  <si>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</si>
  <si>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</si>
  <si>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Finanční náklady</t>
  </si>
  <si>
    <t>Náklady na pracovníky</t>
  </si>
  <si>
    <t>Ostatní náklady</t>
  </si>
  <si>
    <t>Vlastní VORN</t>
  </si>
  <si>
    <t>Celkem VORN</t>
  </si>
  <si>
    <t>Slepý stavební rozpočet</t>
  </si>
  <si>
    <t>Sdružený přechod a přejezd pro cyklisty na ul. Opavské u křižovatky a ul. K Řempu</t>
  </si>
  <si>
    <t>Město Krnov</t>
  </si>
  <si>
    <t>PUDIS a.s.</t>
  </si>
  <si>
    <t>ul. Opavská</t>
  </si>
  <si>
    <t> </t>
  </si>
  <si>
    <t>30.07.2024</t>
  </si>
  <si>
    <t>Č</t>
  </si>
  <si>
    <t>MJ</t>
  </si>
  <si>
    <t>Množství</t>
  </si>
  <si>
    <t>Cena/MJ</t>
  </si>
  <si>
    <t>ISWORK</t>
  </si>
  <si>
    <t>GROUPCODE</t>
  </si>
  <si>
    <t>VATTAX</t>
  </si>
  <si>
    <t>Rozměry</t>
  </si>
  <si>
    <t>(Kč)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</si>
  <si>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</si>
  <si>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</si>
  <si>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</si>
  <si>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</si>
  <si>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</si>
  <si>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</si>
  <si>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</si>
  <si>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</si>
  <si>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</si>
  <si>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</si>
  <si>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</si>
  <si>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</si>
  <si>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</t>
  </si>
  <si>
    <t>111151121</t>
  </si>
  <si>
    <t>Pokosení trávníku při souvislé ploše do 1000 m2 parkového v rovině nebo svahu do 1:5</t>
  </si>
  <si>
    <t>m2</t>
  </si>
  <si>
    <t>11_</t>
  </si>
  <si>
    <t>SO101_1_</t>
  </si>
  <si>
    <t>SO101_</t>
  </si>
  <si>
    <t>2</t>
  </si>
  <si>
    <t>113107121</t>
  </si>
  <si>
    <t>Odstranění podkladů nebo krytů ručně s přemístěním hmot na skládku na vzdálenost do 3 m nebo s naložením na dopravní prostředek z kameniva hrubého drc</t>
  </si>
  <si>
    <t>3</t>
  </si>
  <si>
    <t>113107130</t>
  </si>
  <si>
    <t>Odstranění podkladů nebo krytů ručně s přemístěním hmot na skládku na vzdálenost do 3 m nebo s naložením na dopravní prostředek z betonu prostého, o t</t>
  </si>
  <si>
    <t>4</t>
  </si>
  <si>
    <t>113107142</t>
  </si>
  <si>
    <t>Odstranění podkladů nebo krytů ručně s přemístěním hmot na skládku na vzdálenost do 3 m nebo s naložením na dopravní prostředek živičných, o tl. vrstv</t>
  </si>
  <si>
    <t>5</t>
  </si>
  <si>
    <t>113154113</t>
  </si>
  <si>
    <t>Frézování živičného podkladu nebo krytu s naložením na dopravní prostředek plochy do 500 m2 bez překážek v trase pruhu šířky do 0,5 m, tloušťky vrstvy</t>
  </si>
  <si>
    <t>6</t>
  </si>
  <si>
    <t>120001101</t>
  </si>
  <si>
    <t>Příplatek k cenám vykopávek za ztížení vykopávky v blízkosti podzemního vedení nebo výbušnin v horninách jakékoliv třídy</t>
  </si>
  <si>
    <t>m3</t>
  </si>
  <si>
    <t>12_</t>
  </si>
  <si>
    <t>7</t>
  </si>
  <si>
    <t>121151113</t>
  </si>
  <si>
    <t>Sejmutí ornice strojně při souvislé ploše přes 100 do 500 m2, tl. vrstvy do 200 mm</t>
  </si>
  <si>
    <t>8</t>
  </si>
  <si>
    <t>122411101</t>
  </si>
  <si>
    <t>Odkopávky a prokopávky ručně zapažené i nezapažené v hornině třídy těžitelnosti II skupiny 5</t>
  </si>
  <si>
    <t>9</t>
  </si>
  <si>
    <t>162751117</t>
  </si>
  <si>
    <t>Vodorovné přemístění výkopku nebo sypaniny po suchu na obvyklém dopravním prostředku, bez naložení výkopku, avšak se složením bez rozhrnutí z horniny</t>
  </si>
  <si>
    <t>16_</t>
  </si>
  <si>
    <t>10</t>
  </si>
  <si>
    <t>162751119</t>
  </si>
  <si>
    <t>167151111</t>
  </si>
  <si>
    <t>Nakládání, skládání a překládání neulehlého výkopku nebo sypaniny strojně nakládání, množství přes 100 m3, z hornin třídy těžitelnosti I, skupiny 1 až</t>
  </si>
  <si>
    <t>167151121</t>
  </si>
  <si>
    <t>Nakládání, skládání a překládání neulehlého výkopku nebo sypaniny strojně skládání nebo překládání, z hornin třídy těžitelnosti I, skupiny 1 až 3</t>
  </si>
  <si>
    <t>171201201</t>
  </si>
  <si>
    <t>Uložení sypaniny na skládky nebo meziskládky bez hutnění s upravením uložené sypaniny do předepsaného tvaru</t>
  </si>
  <si>
    <t>17_</t>
  </si>
  <si>
    <t>14</t>
  </si>
  <si>
    <t>174111101</t>
  </si>
  <si>
    <t>Zásyp sypaninou z jakékoliv horniny ručně s uložením výkopku ve vrstvách se zhutněním jam, šachet, rýh nebo kolem objektů v těchto vykopávkách</t>
  </si>
  <si>
    <t>15</t>
  </si>
  <si>
    <t>10364101</t>
  </si>
  <si>
    <t>zemina pro terénní úpravy - ornice</t>
  </si>
  <si>
    <t>t</t>
  </si>
  <si>
    <t>171201231</t>
  </si>
  <si>
    <t>Poplatek za uložení stavebního odpadu na recyklační skládce (skládkovné) zeminy a kamení zatříděného do Katalogu odpadů pod kódem 17 05 04</t>
  </si>
  <si>
    <t>181351103</t>
  </si>
  <si>
    <t>Rozprostření a urovnání ornice v rovině nebo ve svahu sklonu do 1:5 strojně při souvislé ploše přes 100 do 500 m2, tl. vrstvy do 200 mm</t>
  </si>
  <si>
    <t>18_</t>
  </si>
  <si>
    <t>181411121</t>
  </si>
  <si>
    <t>Založení trávníku na půdě předem připravené plochy do 1000 m2 výsevem včetně utažení lučního v rovině nebo na svahu do 1:5</t>
  </si>
  <si>
    <t>19</t>
  </si>
  <si>
    <t>00572100</t>
  </si>
  <si>
    <t>osivo jetelotráva intenzivní víceletá</t>
  </si>
  <si>
    <t>kg</t>
  </si>
  <si>
    <t>20</t>
  </si>
  <si>
    <t>181912112</t>
  </si>
  <si>
    <t>Úprava pláně vyrovnáním výškových rozdílů ručně v hornině třídy těžitelnosti I skupiny 3 se zhutněním</t>
  </si>
  <si>
    <t>182303111</t>
  </si>
  <si>
    <t>Doplnění zeminy nebo substrátu na travnatých plochách tloušťky do 50 mm v rovině nebo na svahu do 1:5</t>
  </si>
  <si>
    <t>22</t>
  </si>
  <si>
    <t>10371500</t>
  </si>
  <si>
    <t>substrát pro trávníky VL</t>
  </si>
  <si>
    <t>23</t>
  </si>
  <si>
    <t>185803111</t>
  </si>
  <si>
    <t>Ošetření trávníku jednorázové v rovině nebo na svahu do 1:5</t>
  </si>
  <si>
    <t>24</t>
  </si>
  <si>
    <t>185803211</t>
  </si>
  <si>
    <t>Uválcování trávníku v rovině nebo na svahu do 1:5</t>
  </si>
  <si>
    <t>25</t>
  </si>
  <si>
    <t>274313711</t>
  </si>
  <si>
    <t>Základy z betonu prostého pasy betonu kamenem neprokládaného tř. C 20/25</t>
  </si>
  <si>
    <t>27_</t>
  </si>
  <si>
    <t>SO101_2_</t>
  </si>
  <si>
    <t>26</t>
  </si>
  <si>
    <t>573191111</t>
  </si>
  <si>
    <t>Postřik infiltrační kationaktivní emulzí v množství 1,00 kg/m2</t>
  </si>
  <si>
    <t>57_</t>
  </si>
  <si>
    <t>SO101_5_</t>
  </si>
  <si>
    <t>573231108</t>
  </si>
  <si>
    <t>Postřik spojovací PS bez posypu kamenivem ze silniční emulze, v množství 0,50 kg/m2</t>
  </si>
  <si>
    <t>28</t>
  </si>
  <si>
    <t>577134031</t>
  </si>
  <si>
    <t>Asfaltový beton vrstva obrusná ACO 11 (ABS) s rozprostřením a se zhutněním z modifikovaného asfaltu v pruhu šířky do 1,5 m, po zhutnění tl. 40 mm</t>
  </si>
  <si>
    <t>29</t>
  </si>
  <si>
    <t>577155032</t>
  </si>
  <si>
    <t>Asfaltový beton vrstva ložní ACL 16 (ABH) s rozprostřením a zhutněním z modifikovaného asfaltu v pruhu šířky do 1,5 m, po zhutnění tl. 60 mm</t>
  </si>
  <si>
    <t>30</t>
  </si>
  <si>
    <t>916111123</t>
  </si>
  <si>
    <t>Osazení silniční obruby z dlažebních kostek v jedné řadě s ložem tl. přes 50 do 100 mm, s vyplněním a zatřením spár cementovou maltou z drobných koste</t>
  </si>
  <si>
    <t>m</t>
  </si>
  <si>
    <t>91_</t>
  </si>
  <si>
    <t>SO101_9_</t>
  </si>
  <si>
    <t>31</t>
  </si>
  <si>
    <t>58381015</t>
  </si>
  <si>
    <t>kostka řezanoštípaná dlažební žula 10x10x10cm</t>
  </si>
  <si>
    <t>32</t>
  </si>
  <si>
    <t>916241213</t>
  </si>
  <si>
    <t>Osazení obrubníku kamenného se zřízením lože, s vyplněním a zatřením spár cementovou maltou stojatého s boční opěrou z betonu prostého, do lože z beto</t>
  </si>
  <si>
    <t>33</t>
  </si>
  <si>
    <t>58380001</t>
  </si>
  <si>
    <t>krajník kamenný žulový silniční 130x200x300-800mm</t>
  </si>
  <si>
    <t>34</t>
  </si>
  <si>
    <t>919732211</t>
  </si>
  <si>
    <t>Styčná pracovní spára při napojení nového živičného povrchu na stávající se zalitím za tepla modifikovanou asfaltovou hmotou s posypem vápenným hydrát</t>
  </si>
  <si>
    <t>35</t>
  </si>
  <si>
    <t>919735113</t>
  </si>
  <si>
    <t>Řezání stávajícího živičného krytu nebo podkladu hloubky přes 100 do 150 mm</t>
  </si>
  <si>
    <t>36</t>
  </si>
  <si>
    <t>919748111</t>
  </si>
  <si>
    <t>Provedení postřiku, popř. zdrsnění povrchu cementobetonového krytu nebo podkladu ochrannou emulzí</t>
  </si>
  <si>
    <t>37</t>
  </si>
  <si>
    <t>111625530</t>
  </si>
  <si>
    <t>emulze asfaltová rychleštěpná pro tryskové vysprávky</t>
  </si>
  <si>
    <t>38</t>
  </si>
  <si>
    <t>998225111</t>
  </si>
  <si>
    <t>Přesun hmot pro komunikace s krytem z kameniva, monolitickým betonovým nebo živičným dopravní vzdálenost do 200 m jakékoliv délky objektu</t>
  </si>
  <si>
    <t>99_</t>
  </si>
  <si>
    <t>39</t>
  </si>
  <si>
    <t>997221551</t>
  </si>
  <si>
    <t>Vodorovná doprava suti bez naložení, ale se složením a s hrubým urovnáním ze sypkých materiálů, na vzdálenost do 1 km</t>
  </si>
  <si>
    <t>S_</t>
  </si>
  <si>
    <t>40</t>
  </si>
  <si>
    <t>997221559</t>
  </si>
  <si>
    <t>Vodorovná doprava suti bez naložení, ale se složením a s hrubým urovnáním Příplatek k ceně za každý další i započatý 1 km přes 1 km</t>
  </si>
  <si>
    <t>41</t>
  </si>
  <si>
    <t>997221611</t>
  </si>
  <si>
    <t>Nakládání na dopravní prostředky pro vodorovnou dopravu suti</t>
  </si>
  <si>
    <t>42</t>
  </si>
  <si>
    <t>997221861</t>
  </si>
  <si>
    <t>Poplatek za uložení stavebního odpadu na recyklační skládce (skládkovné) z prostého betonu zatříděného do Katalogu odpadů pod kódem 17 01 01</t>
  </si>
  <si>
    <t>43</t>
  </si>
  <si>
    <t>997221873</t>
  </si>
  <si>
    <t>44</t>
  </si>
  <si>
    <t>997221875</t>
  </si>
  <si>
    <t>Poplatek za uložení stavebního odpadu na recyklační skládce (skládkovné) asfaltového bez obsahu dehtu zatříděného do Katalogu odpadů pod kódem 17 03 0</t>
  </si>
  <si>
    <t>45</t>
  </si>
  <si>
    <t>129001101</t>
  </si>
  <si>
    <t>SO101.1_1_</t>
  </si>
  <si>
    <t>SO101.1_</t>
  </si>
  <si>
    <t>46</t>
  </si>
  <si>
    <t>131213701</t>
  </si>
  <si>
    <t>Hloubení nezapažených jam ručně s urovnáním dna do předepsaného profilu a spádu v hornině třídy těžitelnosti I skupiny 3 soudržných</t>
  </si>
  <si>
    <t>13_</t>
  </si>
  <si>
    <t>47</t>
  </si>
  <si>
    <t>48</t>
  </si>
  <si>
    <t>49</t>
  </si>
  <si>
    <t>167151101</t>
  </si>
  <si>
    <t>Nakládání, skládání a překládání neulehlého výkopku nebo sypaniny strojně nakládání, množství do 100 m3, z horniny třídy těžitelnosti I, skupiny 1 až</t>
  </si>
  <si>
    <t>50</t>
  </si>
  <si>
    <t>51</t>
  </si>
  <si>
    <t>52</t>
  </si>
  <si>
    <t>53</t>
  </si>
  <si>
    <t>275313511</t>
  </si>
  <si>
    <t>Základy z betonu prostého patky a bloky z betonu kamenem neprokládaného tř. C 12/15</t>
  </si>
  <si>
    <t>SO101.1_2_</t>
  </si>
  <si>
    <t>54</t>
  </si>
  <si>
    <t>914111111</t>
  </si>
  <si>
    <t>Montáž svislé dopravní značky základní velikosti do 1 m2 objímkami na sloupky nebo konzoly</t>
  </si>
  <si>
    <t>kus</t>
  </si>
  <si>
    <t>SO101.1_9_</t>
  </si>
  <si>
    <t>55</t>
  </si>
  <si>
    <t>40445622</t>
  </si>
  <si>
    <t>informativní značky provozní IP1-IP3, IP4b-IP7, IP10a, b 750x750mm</t>
  </si>
  <si>
    <t>914511112</t>
  </si>
  <si>
    <t>Montáž sloupku dopravních značek délky do 3,5 m do hliníkové patky pro sloupek D 60 mm</t>
  </si>
  <si>
    <t>404452300</t>
  </si>
  <si>
    <t>sloupek pro dopravní značku Zn D 70mm v 3,5m</t>
  </si>
  <si>
    <t>58</t>
  </si>
  <si>
    <t>40445257</t>
  </si>
  <si>
    <t>svorka upínací na sloupek D 70mm</t>
  </si>
  <si>
    <t>40445254</t>
  </si>
  <si>
    <t>víčko plastové na sloupek D 70mm</t>
  </si>
  <si>
    <t>60</t>
  </si>
  <si>
    <t>40445241</t>
  </si>
  <si>
    <t>patka pro sloupek Al D 70mm</t>
  </si>
  <si>
    <t>61</t>
  </si>
  <si>
    <t>915221111</t>
  </si>
  <si>
    <t>Vodorovné dopravní značení stříkaným plastem vodící čára bílá šířky 250 mm souvislá základní</t>
  </si>
  <si>
    <t>62</t>
  </si>
  <si>
    <t>915231111</t>
  </si>
  <si>
    <t>Vodorovné dopravní značení stříkaným plastem přechody pro chodce, šipky, symboly nápisy bílé základní</t>
  </si>
  <si>
    <t>63</t>
  </si>
  <si>
    <t>966007122</t>
  </si>
  <si>
    <t>Odstranění vodorovného dopravního značení frézováním značeného plastem čáry šířky do 250 mm</t>
  </si>
  <si>
    <t>96_</t>
  </si>
  <si>
    <t>64</t>
  </si>
  <si>
    <t>65</t>
  </si>
  <si>
    <t>66</t>
  </si>
  <si>
    <t>67</t>
  </si>
  <si>
    <t>997013871</t>
  </si>
  <si>
    <t>Poplatek za uložení stavebního odpadu na recyklační skládce (skládkovné) směsného stavebního a demoličního zatříděného do Katalogu odpadů pod kódem 17</t>
  </si>
  <si>
    <t>68</t>
  </si>
  <si>
    <t>SO102_1_</t>
  </si>
  <si>
    <t>SO102_</t>
  </si>
  <si>
    <t>69</t>
  </si>
  <si>
    <t>111211101</t>
  </si>
  <si>
    <t>Odstranění křovin a stromů s odstraněním kořenů ručně průměru kmene do 100 mm jakékoliv plochy v rovině nebo ve svahu o sklonu do 1:5</t>
  </si>
  <si>
    <t>70</t>
  </si>
  <si>
    <t>112151311</t>
  </si>
  <si>
    <t>Pokácení stromu postupné bez spouštění částí kmene a koruny o průměru na řezné ploše pařezu přes 100 do 200 mm</t>
  </si>
  <si>
    <t>71</t>
  </si>
  <si>
    <t>112201111</t>
  </si>
  <si>
    <t>Odstranění pařezu v rovině nebo na svahu do 1:5 o průměru pařezu na řezné ploše do 200 mm</t>
  </si>
  <si>
    <t>72</t>
  </si>
  <si>
    <t>113202111</t>
  </si>
  <si>
    <t>Vytrhání obrub s vybouráním lože, s přemístěním hmot na skládku na vzdálenost do 3 m nebo s naložením na dopravní prostředek z krajníků nebo obrubníků</t>
  </si>
  <si>
    <t>73</t>
  </si>
  <si>
    <t>74</t>
  </si>
  <si>
    <t>75</t>
  </si>
  <si>
    <t>76</t>
  </si>
  <si>
    <t>162201401</t>
  </si>
  <si>
    <t>Vodorovné přemístění větví, kmenů nebo pařezů s naložením, složením a dopravou do 1000 m větví stromů listnatých, průměru kmene přes 100 do 300 mm</t>
  </si>
  <si>
    <t>77</t>
  </si>
  <si>
    <t>162201411</t>
  </si>
  <si>
    <t>Vodorovné přemístění větví, kmenů nebo pařezů s naložením, složením a dopravou do 1000 m kmenů stromů listnatých, průměru přes 100 do 300 mm</t>
  </si>
  <si>
    <t>78</t>
  </si>
  <si>
    <t>162201421</t>
  </si>
  <si>
    <t>Vodorovné přemístění větví, kmenů nebo pařezů s naložením, složením a dopravou do 1000 m pařezů kmenů, průměru přes 100 do 300 mm</t>
  </si>
  <si>
    <t>79</t>
  </si>
  <si>
    <t>162301931</t>
  </si>
  <si>
    <t>Vodorovné přemístění větví, kmenů nebo pařezů s naložením, složením a dopravou Příplatek k cenám za každých dalších i započatých 1000 m přes 1000 m vě</t>
  </si>
  <si>
    <t>80</t>
  </si>
  <si>
    <t>162301951</t>
  </si>
  <si>
    <t>Vodorovné přemístění větví, kmenů nebo pařezů s naložením, složením a dopravou Příplatek k cenám za každých dalších i započatých 1000 m přes 1000 m km</t>
  </si>
  <si>
    <t>81</t>
  </si>
  <si>
    <t>162301971</t>
  </si>
  <si>
    <t>Vodorovné přemístění větví, kmenů nebo pařezů s naložením, složením a dopravou Příplatek k cenám za každých dalších i započatých 1000 m přes 1000 m pa</t>
  </si>
  <si>
    <t>82</t>
  </si>
  <si>
    <t>162301501</t>
  </si>
  <si>
    <t>Vodorovné přemístění smýcených křovin do průměru kmene 100 mm na vzdálenost do 5 000 m</t>
  </si>
  <si>
    <t>83</t>
  </si>
  <si>
    <t>162301981</t>
  </si>
  <si>
    <t>Vodorovné přemístění smýcených křovin Příplatek k ceně za každých dalších i započatých 1 000 m</t>
  </si>
  <si>
    <t>84</t>
  </si>
  <si>
    <t>85</t>
  </si>
  <si>
    <t>86</t>
  </si>
  <si>
    <t>87</t>
  </si>
  <si>
    <t>88</t>
  </si>
  <si>
    <t>89</t>
  </si>
  <si>
    <t>90</t>
  </si>
  <si>
    <t>92</t>
  </si>
  <si>
    <t>94</t>
  </si>
  <si>
    <t>95</t>
  </si>
  <si>
    <t>97</t>
  </si>
  <si>
    <t>184818231</t>
  </si>
  <si>
    <t>Ochrana kmene bedněním před poškozením stavebním provozem zřízení včetně odstranění výšky bednění do 2 m průměru kmene do 300 mm</t>
  </si>
  <si>
    <t>98</t>
  </si>
  <si>
    <t>100</t>
  </si>
  <si>
    <t>101</t>
  </si>
  <si>
    <t>SO102_2_</t>
  </si>
  <si>
    <t>102</t>
  </si>
  <si>
    <t>564201011</t>
  </si>
  <si>
    <t>Podklad nebo podsyp ze štěrkopísku ŠP s rozprostřením, vlhčením a zhutněním plochy jednotlivě do 100 m2, po zhutnění tl. 40 mm</t>
  </si>
  <si>
    <t>56_</t>
  </si>
  <si>
    <t>SO102_5_</t>
  </si>
  <si>
    <t>103</t>
  </si>
  <si>
    <t>564851011</t>
  </si>
  <si>
    <t>Podklad ze štěrkodrti ŠD s rozprostřením a zhutněním plochy jednotlivě do 100 m2, po zhutnění tl. 150 mm</t>
  </si>
  <si>
    <t>104</t>
  </si>
  <si>
    <t>596211130</t>
  </si>
  <si>
    <t>Kladení dlažby z betonových zámkových dlaždic komunikací pro pěší ručně s ložem z kameniva těženého nebo drceného tl. do 40 mm, s vyplněním spár s dvo</t>
  </si>
  <si>
    <t>59_</t>
  </si>
  <si>
    <t>105</t>
  </si>
  <si>
    <t>59245008</t>
  </si>
  <si>
    <t>dlažba betonová 200x200x60mm bez fazety barevná</t>
  </si>
  <si>
    <t>106</t>
  </si>
  <si>
    <t>59245018</t>
  </si>
  <si>
    <t>dlažba betonová 200x200x60mm bez fazety přírodní</t>
  </si>
  <si>
    <t>107</t>
  </si>
  <si>
    <t>59245019</t>
  </si>
  <si>
    <t>dlažba tvar obdélník betonová pro nevidomé 200x100x60mm přírodní</t>
  </si>
  <si>
    <t>108</t>
  </si>
  <si>
    <t>59245006</t>
  </si>
  <si>
    <t>dlažba tvar obdélník betonová pro nevidomé 200x100x60mm barevná</t>
  </si>
  <si>
    <t>109</t>
  </si>
  <si>
    <t>596211134</t>
  </si>
  <si>
    <t>110</t>
  </si>
  <si>
    <t>916231213</t>
  </si>
  <si>
    <t>Osazení chodníkového obrubníku betonového se zřízením lože, s vyplněním a zatřením spár cementovou maltou stojatého s boční opěrou z betonu prostého,</t>
  </si>
  <si>
    <t>SO102_9_</t>
  </si>
  <si>
    <t>111</t>
  </si>
  <si>
    <t>59217002</t>
  </si>
  <si>
    <t>obrubník betonový zahradní šedý 1000x50x200mm</t>
  </si>
  <si>
    <t>112</t>
  </si>
  <si>
    <t>113</t>
  </si>
  <si>
    <t>966008211</t>
  </si>
  <si>
    <t>Bourání odvodňovacího žlabu s odklizením a uložením vybouraného materiálu na skládku na vzdálenost do 10 m nebo s naložením na dopravní prostředek z b</t>
  </si>
  <si>
    <t>114</t>
  </si>
  <si>
    <t>998223011</t>
  </si>
  <si>
    <t>Přesun hmot pro pozemní komunikace s krytem dlážděným dopravní vzdálenost do 200 m jakékoliv délky objektu</t>
  </si>
  <si>
    <t>115</t>
  </si>
  <si>
    <t>116</t>
  </si>
  <si>
    <t>117</t>
  </si>
  <si>
    <t>118</t>
  </si>
  <si>
    <t>119</t>
  </si>
  <si>
    <t>120</t>
  </si>
  <si>
    <t>SO102.1_1_</t>
  </si>
  <si>
    <t>SO102.1_</t>
  </si>
  <si>
    <t>121</t>
  </si>
  <si>
    <t>122</t>
  </si>
  <si>
    <t>123</t>
  </si>
  <si>
    <t>124</t>
  </si>
  <si>
    <t>125</t>
  </si>
  <si>
    <t>126</t>
  </si>
  <si>
    <t>127</t>
  </si>
  <si>
    <t>128</t>
  </si>
  <si>
    <t>21_</t>
  </si>
  <si>
    <t>SO102.1_2_</t>
  </si>
  <si>
    <t>129</t>
  </si>
  <si>
    <t>SO102.1_9_</t>
  </si>
  <si>
    <t>130</t>
  </si>
  <si>
    <t>40445620</t>
  </si>
  <si>
    <t>zákazové, příkazové dopravní značky B1-B34, C1-15 700mm</t>
  </si>
  <si>
    <t>131</t>
  </si>
  <si>
    <t>132</t>
  </si>
  <si>
    <t>133</t>
  </si>
  <si>
    <t>134</t>
  </si>
  <si>
    <t>135</t>
  </si>
  <si>
    <t>136</t>
  </si>
  <si>
    <t>915223111</t>
  </si>
  <si>
    <t>Orientační prvky pro nevidomé z plastu na pozemních komunikacích a komunikacích pro pěší varovný pás šířky 420 mm</t>
  </si>
  <si>
    <t>137</t>
  </si>
  <si>
    <t>138</t>
  </si>
  <si>
    <t>961044111</t>
  </si>
  <si>
    <t>Bourání základů z betonu prostého</t>
  </si>
  <si>
    <t>139</t>
  </si>
  <si>
    <t>966006132</t>
  </si>
  <si>
    <t>Odstranění dopravních nebo orientačních značek se sloupkem s uložením hmot na vzdálenost do 20 m nebo s naložením na dopravní prostředek, se zásypem j</t>
  </si>
  <si>
    <t>140</t>
  </si>
  <si>
    <t>966006211</t>
  </si>
  <si>
    <t>Odstranění (demontáž) svislých dopravních značek s odklizením materiálu na skládku na vzdálenost do 20 m nebo s naložením na dopravní prostředek ze sl</t>
  </si>
  <si>
    <t>141</t>
  </si>
  <si>
    <t>142</t>
  </si>
  <si>
    <t>143</t>
  </si>
  <si>
    <t>144</t>
  </si>
  <si>
    <t>145</t>
  </si>
  <si>
    <t>Pol1</t>
  </si>
  <si>
    <t>Svítidlo - typ A - dodávka a montáž svítidla na stávající výložník</t>
  </si>
  <si>
    <t>ks</t>
  </si>
  <si>
    <t>M21_</t>
  </si>
  <si>
    <t>SO401_9_</t>
  </si>
  <si>
    <t>SO401_</t>
  </si>
  <si>
    <t>146</t>
  </si>
  <si>
    <t>Pol2</t>
  </si>
  <si>
    <t>Svítidlo - typ B - dodávka a montáž svítidla na nový výložník</t>
  </si>
  <si>
    <t>147</t>
  </si>
  <si>
    <t>Pol3</t>
  </si>
  <si>
    <t>Svítidlo - typ C - dodávka a montáž svítidla na nový výložník</t>
  </si>
  <si>
    <t>148</t>
  </si>
  <si>
    <t>Pol4</t>
  </si>
  <si>
    <t>Výložník na betonový stožár , délka vyložení 500mm, průměr 60mm, 5°, žárově-zinkované, včetně spojovacího materiálu (třmen + 2x matice + 2x podložka,</t>
  </si>
  <si>
    <t>149</t>
  </si>
  <si>
    <t>Pol5</t>
  </si>
  <si>
    <t>SLIW50 - propichovací svorka pro izolované vodiče</t>
  </si>
  <si>
    <t>150</t>
  </si>
  <si>
    <t>Pol6</t>
  </si>
  <si>
    <t>CYKY-J 3x1,5 mm2</t>
  </si>
  <si>
    <t>151</t>
  </si>
  <si>
    <t>Pol7</t>
  </si>
  <si>
    <t>Ukončení kabelů + zapojení kabelů do 2,5mm2</t>
  </si>
  <si>
    <t>152</t>
  </si>
  <si>
    <t>Pol8</t>
  </si>
  <si>
    <t>Demontáž a ekologická likvidace stávajícího výbojkového svítidla</t>
  </si>
  <si>
    <t>153</t>
  </si>
  <si>
    <t>Pol9</t>
  </si>
  <si>
    <t>Pronájem montážní plošiny na automobilovém podvozku, pracovní výška:min. 12m, nosnost koše: min.250kg,</t>
  </si>
  <si>
    <t>h</t>
  </si>
  <si>
    <t>154</t>
  </si>
  <si>
    <t>Pol10</t>
  </si>
  <si>
    <t>Přistavení montážní plošiny na automobilovém podvozku, pracovní výška:min. 12m, nosnost koše: min.250kg,</t>
  </si>
  <si>
    <t>155</t>
  </si>
  <si>
    <t>Pol11</t>
  </si>
  <si>
    <t>Zajištění beznapěťového stavu dotčených částí el. instalace dle platných provozních předpisů a legislativy</t>
  </si>
  <si>
    <t>kpl</t>
  </si>
  <si>
    <t>156</t>
  </si>
  <si>
    <t>119003227</t>
  </si>
  <si>
    <t>Pomocné konstrukce při zabezpečení výkopu svislé ocelové mobilní oplocení, výšky přes 1,5 do 2,2 m panely vyplněné dráty zřízení</t>
  </si>
  <si>
    <t>VRN_1_</t>
  </si>
  <si>
    <t>VRN_</t>
  </si>
  <si>
    <t>157</t>
  </si>
  <si>
    <t>119003228</t>
  </si>
  <si>
    <t>Pomocné konstrukce při zabezpečení výkopu svislé ocelové mobilní oplocení, výšky přes 1,5 do 2,2 m panely vyplněné dráty odstranění</t>
  </si>
  <si>
    <t>158</t>
  </si>
  <si>
    <t>938908411</t>
  </si>
  <si>
    <t>Čištění vozovek splachováním vodou povrchu podkladu nebo krytu živičného, betonového nebo dlážděného</t>
  </si>
  <si>
    <t>93_</t>
  </si>
  <si>
    <t>VRN_9_</t>
  </si>
  <si>
    <t>159</t>
  </si>
  <si>
    <t>011114000</t>
  </si>
  <si>
    <t>Inženýrsko-geologický průzkum</t>
  </si>
  <si>
    <t>komplet</t>
  </si>
  <si>
    <t>01VRN_</t>
  </si>
  <si>
    <t>VRN_Â _</t>
  </si>
  <si>
    <t>160</t>
  </si>
  <si>
    <t>011503002</t>
  </si>
  <si>
    <t>Vytyčení trasy inženýrských sítí</t>
  </si>
  <si>
    <t>161</t>
  </si>
  <si>
    <t>011503003</t>
  </si>
  <si>
    <t>Vytyčení stavby včetně fotodokumentace</t>
  </si>
  <si>
    <t>162</t>
  </si>
  <si>
    <t>012103000</t>
  </si>
  <si>
    <t>Geodetické práce před výstavbou</t>
  </si>
  <si>
    <t>163</t>
  </si>
  <si>
    <t>012303000</t>
  </si>
  <si>
    <t>Geodetické práce po výstavbě</t>
  </si>
  <si>
    <t>164</t>
  </si>
  <si>
    <t>013254000.1</t>
  </si>
  <si>
    <t>Zaměření skutečného provedení stavby</t>
  </si>
  <si>
    <t>165</t>
  </si>
  <si>
    <t>013254000.2</t>
  </si>
  <si>
    <t>Geometrické plány stavby pro vklad do KN</t>
  </si>
  <si>
    <t>166</t>
  </si>
  <si>
    <t>013254000.3</t>
  </si>
  <si>
    <t>Aktualizace dokladových částí projektové dokumentace</t>
  </si>
  <si>
    <t>167</t>
  </si>
  <si>
    <t>013254000.4</t>
  </si>
  <si>
    <t>Kompletní dokumentace ke kolaudaci stavby – provozní řády, revize a ostatní nutné podklady dle požadavků investora</t>
  </si>
  <si>
    <t>168</t>
  </si>
  <si>
    <t>013254001</t>
  </si>
  <si>
    <t>Dokumentace skutečného provedení stavby</t>
  </si>
  <si>
    <t>169</t>
  </si>
  <si>
    <t>013274000</t>
  </si>
  <si>
    <t>Pasportizace Území před zahájením stavby dle požadavků investora</t>
  </si>
  <si>
    <t>170</t>
  </si>
  <si>
    <t>024003007</t>
  </si>
  <si>
    <t>Administrativní činnost pro zajištění záborů pozemků, uzavírek komunikací a dopravních opatření</t>
  </si>
  <si>
    <t>02VRN_</t>
  </si>
  <si>
    <t>171</t>
  </si>
  <si>
    <t>011.1</t>
  </si>
  <si>
    <t>Náklady na zajištění bezpečnosti silničního provozu</t>
  </si>
  <si>
    <t>172</t>
  </si>
  <si>
    <t>011.2</t>
  </si>
  <si>
    <t>Vyznačení objízdné trasy</t>
  </si>
  <si>
    <t>173</t>
  </si>
  <si>
    <t>012.1</t>
  </si>
  <si>
    <t>Dočasné dopravní značení a zajištění příkazu trvalého DZ</t>
  </si>
  <si>
    <t>174</t>
  </si>
  <si>
    <t>032103000</t>
  </si>
  <si>
    <t>Náklady na stavební buňky</t>
  </si>
  <si>
    <t>03VRN_</t>
  </si>
  <si>
    <t>175</t>
  </si>
  <si>
    <t>032103000.1</t>
  </si>
  <si>
    <t>Náklady na stavební buňky - chemické WC</t>
  </si>
  <si>
    <t>176</t>
  </si>
  <si>
    <t>032503000</t>
  </si>
  <si>
    <t>Skládky na staveništi</t>
  </si>
  <si>
    <t>177</t>
  </si>
  <si>
    <t>032903000</t>
  </si>
  <si>
    <t>Náklady na provoz a údržbu vybavení staveniště</t>
  </si>
  <si>
    <t>178</t>
  </si>
  <si>
    <t>033203000</t>
  </si>
  <si>
    <t>Náklady na veškeré energie související s realizací stavby</t>
  </si>
  <si>
    <t>179</t>
  </si>
  <si>
    <t>034503000</t>
  </si>
  <si>
    <t>Informační tabule na staveništi s údaji o stavbě (1,5 x 1,0 m)</t>
  </si>
  <si>
    <t>180</t>
  </si>
  <si>
    <t>039103000</t>
  </si>
  <si>
    <t>Rozebrání, bourání a odvoz zařízení staveniště</t>
  </si>
  <si>
    <t>181</t>
  </si>
  <si>
    <t>039103001</t>
  </si>
  <si>
    <t>Zábory cizích pozemků (veřejných i soukromých)</t>
  </si>
  <si>
    <t>182</t>
  </si>
  <si>
    <t>039103003</t>
  </si>
  <si>
    <t>Dočasné zajištění podzemních sítí proti poškození</t>
  </si>
  <si>
    <t>183</t>
  </si>
  <si>
    <t>043134000</t>
  </si>
  <si>
    <t>Zkoušky zatěžovací</t>
  </si>
  <si>
    <t>04VRN_</t>
  </si>
  <si>
    <t>184</t>
  </si>
  <si>
    <t>045303000</t>
  </si>
  <si>
    <t>Koordinační a kompletační činnost dodavatele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</si>
</sst>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CCFFFF"/>
      </patternFill>
    </fill>
  </fills>
  <borders count="7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4" fontId="2" fillId="0" borderId="24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4" fontId="2" fillId="0" borderId="28" xfId="0" applyNumberFormat="1" applyFont="1" applyBorder="1" applyAlignment="1">
      <alignment horizontal="right" vertical="center"/>
    </xf>
    <xf numFmtId="4" fontId="3" fillId="0" borderId="29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4" fontId="9" fillId="0" borderId="36" xfId="0" applyNumberFormat="1" applyFont="1" applyBorder="1" applyAlignment="1">
      <alignment horizontal="right" vertical="center"/>
    </xf>
    <xf numFmtId="0" fontId="9" fillId="0" borderId="36" xfId="0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" fontId="9" fillId="0" borderId="43" xfId="0" applyNumberFormat="1" applyFont="1" applyBorder="1" applyAlignment="1">
      <alignment horizontal="right" vertical="center"/>
    </xf>
    <xf numFmtId="0" fontId="9" fillId="0" borderId="43" xfId="0" applyFont="1" applyBorder="1" applyAlignment="1">
      <alignment horizontal="right" vertical="center"/>
    </xf>
    <xf numFmtId="4" fontId="9" fillId="0" borderId="34" xfId="0" applyNumberFormat="1" applyFont="1" applyBorder="1" applyAlignment="1">
      <alignment horizontal="right" vertical="center"/>
    </xf>
    <xf numFmtId="4" fontId="9" fillId="0" borderId="46" xfId="0" applyNumberFormat="1" applyFont="1" applyBorder="1" applyAlignment="1">
      <alignment horizontal="right" vertical="center"/>
    </xf>
    <xf numFmtId="4" fontId="8" fillId="2" borderId="33" xfId="0" applyNumberFormat="1" applyFont="1" applyFill="1" applyBorder="1" applyAlignment="1">
      <alignment horizontal="right" vertical="center"/>
    </xf>
    <xf numFmtId="4" fontId="8" fillId="2" borderId="38" xfId="0" applyNumberFormat="1" applyFont="1" applyFill="1" applyBorder="1" applyAlignment="1">
      <alignment horizontal="right" vertical="center"/>
    </xf>
    <xf numFmtId="0" fontId="4" fillId="0" borderId="23" xfId="0" applyFont="1" applyBorder="1" applyAlignment="1">
      <alignment horizontal="left" vertical="center"/>
    </xf>
    <xf numFmtId="0" fontId="3" fillId="0" borderId="61" xfId="0" applyFont="1" applyBorder="1" applyAlignment="1">
      <alignment horizontal="right" vertical="center"/>
    </xf>
    <xf numFmtId="4" fontId="2" fillId="0" borderId="36" xfId="0" applyNumberFormat="1" applyFont="1" applyBorder="1" applyAlignment="1">
      <alignment horizontal="right" vertical="center"/>
    </xf>
    <xf numFmtId="0" fontId="2" fillId="0" borderId="36" xfId="0" applyFont="1" applyBorder="1" applyAlignment="1">
      <alignment horizontal="left" vertical="center"/>
    </xf>
    <xf numFmtId="4" fontId="2" fillId="0" borderId="65" xfId="0" applyNumberFormat="1" applyFont="1" applyBorder="1" applyAlignment="1">
      <alignment horizontal="right" vertical="center"/>
    </xf>
    <xf numFmtId="0" fontId="2" fillId="0" borderId="65" xfId="0" applyFont="1" applyBorder="1" applyAlignment="1">
      <alignment horizontal="left" vertical="center"/>
    </xf>
    <xf numFmtId="0" fontId="3" fillId="0" borderId="69" xfId="0" applyFont="1" applyBorder="1" applyAlignment="1">
      <alignment horizontal="left" vertical="center"/>
    </xf>
    <xf numFmtId="0" fontId="3" fillId="0" borderId="69" xfId="0" applyFont="1" applyBorder="1" applyAlignment="1">
      <alignment horizontal="right" vertical="center"/>
    </xf>
    <xf numFmtId="4" fontId="3" fillId="0" borderId="69" xfId="0" applyNumberFormat="1" applyFont="1" applyBorder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0" fontId="3" fillId="0" borderId="7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3" borderId="73" xfId="0" applyFont="1" applyFill="1" applyBorder="1" applyAlignment="1" applyProtection="1">
      <alignment horizontal="center" vertical="center"/>
      <protection locked="0"/>
    </xf>
    <xf numFmtId="0" fontId="0" fillId="0" borderId="74" xfId="0" applyBorder="1"/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7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0" fontId="2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4" borderId="23" xfId="0" applyFont="1" applyFill="1" applyBorder="1" applyAlignment="1" applyProtection="1">
      <alignment horizontal="left" vertical="center"/>
      <protection locked="0"/>
    </xf>
    <xf numFmtId="4" fontId="3" fillId="2" borderId="23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4" fontId="2" fillId="3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4" fontId="2" fillId="0" borderId="27" xfId="0" applyNumberFormat="1" applyFont="1" applyBorder="1" applyAlignment="1">
      <alignment horizontal="right" vertical="center"/>
    </xf>
    <xf numFmtId="4" fontId="2" fillId="3" borderId="27" xfId="0" applyNumberFormat="1" applyFont="1" applyFill="1" applyBorder="1" applyAlignment="1" applyProtection="1">
      <alignment horizontal="right" vertical="center"/>
      <protection locked="0"/>
    </xf>
    <xf numFmtId="0" fontId="0" fillId="0" borderId="27" xfId="0" applyBorder="1"/>
    <xf numFmtId="0" fontId="0" fillId="0" borderId="28" xfId="0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/>
    </xf>
    <xf numFmtId="1" fontId="2" fillId="0" borderId="6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2" borderId="45" xfId="0" applyFont="1" applyFill="1" applyBorder="1" applyAlignment="1">
      <alignment horizontal="left" vertical="center"/>
    </xf>
    <xf numFmtId="0" fontId="8" fillId="2" borderId="47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horizontal="left" vertical="center"/>
    </xf>
    <xf numFmtId="0" fontId="8" fillId="2" borderId="48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8" fillId="0" borderId="66" xfId="0" applyFont="1" applyBorder="1" applyAlignment="1">
      <alignment horizontal="left" vertical="center"/>
    </xf>
    <xf numFmtId="0" fontId="8" fillId="0" borderId="67" xfId="0" applyFont="1" applyBorder="1" applyAlignment="1">
      <alignment horizontal="left" vertical="center"/>
    </xf>
    <xf numFmtId="0" fontId="8" fillId="0" borderId="68" xfId="0" applyFont="1" applyBorder="1" applyAlignment="1">
      <alignment horizontal="left" vertical="center"/>
    </xf>
    <xf numFmtId="4" fontId="8" fillId="0" borderId="70" xfId="0" applyNumberFormat="1" applyFont="1" applyBorder="1" applyAlignment="1">
      <alignment horizontal="right" vertical="center"/>
    </xf>
    <xf numFmtId="0" fontId="8" fillId="0" borderId="67" xfId="0" applyFont="1" applyBorder="1" applyAlignment="1">
      <alignment horizontal="right" vertical="center"/>
    </xf>
    <xf numFmtId="0" fontId="8" fillId="0" borderId="68" xfId="0" applyFont="1" applyBorder="1" applyAlignment="1">
      <alignment horizontal="right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27" xfId="0" applyFont="1" applyFill="1" applyBorder="1" applyAlignment="1" applyProtection="1">
      <alignment horizontal="left" vertical="center"/>
      <protection locked="0"/>
    </xf>
    <xf numFmtId="0" fontId="2" fillId="3" borderId="28" xfId="0" applyFont="1" applyFill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2" fillId="0" borderId="27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"/>
  <sheetViews>
    <sheetView tabSelected="1"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95" t="s">
        <v>80</v>
      </c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71" t="s">
        <v>1</v>
      </c>
      <c r="B2" s="72"/>
      <c r="C2" s="78" t="str">
        <f>'Stavební rozpočet'!D2</f>
        <v>Sdružený přechod a přejezd pro cyklisty na ul. Opavské u křižovatky a ul. K Řempu</v>
      </c>
      <c r="D2" s="79"/>
      <c r="E2" s="82" t="s">
        <v>3</v>
      </c>
      <c r="F2" s="82" t="str">
        <f>'Stavební rozpočet'!J2</f>
        <v>Město Krnov</v>
      </c>
      <c r="G2" s="72"/>
      <c r="H2" s="82" t="s">
        <v>81</v>
      </c>
      <c r="I2" s="83" t="s">
        <v>82</v>
      </c>
    </row>
    <row r="3" spans="1:9" ht="25.5" customHeight="1" x14ac:dyDescent="0.25">
      <c r="A3" s="73"/>
      <c r="B3" s="74"/>
      <c r="C3" s="80"/>
      <c r="D3" s="80"/>
      <c r="E3" s="74"/>
      <c r="F3" s="74"/>
      <c r="G3" s="74"/>
      <c r="H3" s="74"/>
      <c r="I3" s="84"/>
    </row>
    <row r="4" spans="1:9" x14ac:dyDescent="0.25">
      <c r="A4" s="75" t="s">
        <v>4</v>
      </c>
      <c r="B4" s="74"/>
      <c r="C4" s="81" t="str">
        <f>'Stavební rozpočet'!D4</f>
        <v xml:space="preserve"> </v>
      </c>
      <c r="D4" s="74"/>
      <c r="E4" s="81" t="s">
        <v>6</v>
      </c>
      <c r="F4" s="81" t="str">
        <f>'Stavební rozpočet'!J4</f>
        <v>PUDIS a.s.</v>
      </c>
      <c r="G4" s="74"/>
      <c r="H4" s="81" t="s">
        <v>81</v>
      </c>
      <c r="I4" s="84" t="s">
        <v>20</v>
      </c>
    </row>
    <row r="5" spans="1:9" ht="15" customHeight="1" x14ac:dyDescent="0.25">
      <c r="A5" s="73"/>
      <c r="B5" s="74"/>
      <c r="C5" s="74"/>
      <c r="D5" s="74"/>
      <c r="E5" s="74"/>
      <c r="F5" s="74"/>
      <c r="G5" s="74"/>
      <c r="H5" s="74"/>
      <c r="I5" s="84"/>
    </row>
    <row r="6" spans="1:9" x14ac:dyDescent="0.25">
      <c r="A6" s="75" t="s">
        <v>7</v>
      </c>
      <c r="B6" s="74"/>
      <c r="C6" s="81" t="str">
        <f>'Stavební rozpočet'!D6</f>
        <v>ul. Opavská</v>
      </c>
      <c r="D6" s="74"/>
      <c r="E6" s="81" t="s">
        <v>9</v>
      </c>
      <c r="F6" s="81" t="str">
        <f>'Stavební rozpočet'!J6</f>
        <v> </v>
      </c>
      <c r="G6" s="74"/>
      <c r="H6" s="81" t="s">
        <v>81</v>
      </c>
      <c r="I6" s="84" t="s">
        <v>20</v>
      </c>
    </row>
    <row r="7" spans="1:9" ht="15" customHeight="1" x14ac:dyDescent="0.25">
      <c r="A7" s="73"/>
      <c r="B7" s="74"/>
      <c r="C7" s="74"/>
      <c r="D7" s="74"/>
      <c r="E7" s="74"/>
      <c r="F7" s="74"/>
      <c r="G7" s="74"/>
      <c r="H7" s="74"/>
      <c r="I7" s="84"/>
    </row>
    <row r="8" spans="1:9" x14ac:dyDescent="0.25">
      <c r="A8" s="75" t="s">
        <v>5</v>
      </c>
      <c r="B8" s="74"/>
      <c r="C8" s="81" t="str">
        <f>'Stavební rozpočet'!H4</f>
        <v xml:space="preserve"> </v>
      </c>
      <c r="D8" s="74"/>
      <c r="E8" s="81" t="s">
        <v>8</v>
      </c>
      <c r="F8" s="81" t="str">
        <f>'Stavební rozpočet'!H6</f>
        <v xml:space="preserve"> </v>
      </c>
      <c r="G8" s="74"/>
      <c r="H8" s="74" t="s">
        <v>83</v>
      </c>
      <c r="I8" s="97">
        <v>184</v>
      </c>
    </row>
    <row r="9" spans="1:9" x14ac:dyDescent="0.25">
      <c r="A9" s="73"/>
      <c r="B9" s="74"/>
      <c r="C9" s="74"/>
      <c r="D9" s="74"/>
      <c r="E9" s="74"/>
      <c r="F9" s="74"/>
      <c r="G9" s="74"/>
      <c r="H9" s="74"/>
      <c r="I9" s="84"/>
    </row>
    <row r="10" spans="1:9" x14ac:dyDescent="0.25">
      <c r="A10" s="75" t="s">
        <v>10</v>
      </c>
      <c r="B10" s="74"/>
      <c r="C10" s="81" t="str">
        <f>'Stavební rozpočet'!D8</f>
        <v xml:space="preserve"> </v>
      </c>
      <c r="D10" s="74"/>
      <c r="E10" s="81" t="s">
        <v>12</v>
      </c>
      <c r="F10" s="81" t="str">
        <f>'Stavební rozpočet'!J8</f>
        <v> </v>
      </c>
      <c r="G10" s="74"/>
      <c r="H10" s="74" t="s">
        <v>84</v>
      </c>
      <c r="I10" s="98" t="str">
        <f>'Stavební rozpočet'!H8</f>
        <v>30.07.2024</v>
      </c>
    </row>
    <row r="11" spans="1:9" x14ac:dyDescent="0.25">
      <c r="A11" s="96"/>
      <c r="B11" s="93"/>
      <c r="C11" s="93"/>
      <c r="D11" s="93"/>
      <c r="E11" s="93"/>
      <c r="F11" s="93"/>
      <c r="G11" s="93"/>
      <c r="H11" s="93"/>
      <c r="I11" s="99"/>
    </row>
    <row r="12" spans="1:9" ht="23.25" x14ac:dyDescent="0.25">
      <c r="A12" s="100" t="s">
        <v>85</v>
      </c>
      <c r="B12" s="100"/>
      <c r="C12" s="100"/>
      <c r="D12" s="100"/>
      <c r="E12" s="100"/>
      <c r="F12" s="100"/>
      <c r="G12" s="100"/>
      <c r="H12" s="100"/>
      <c r="I12" s="100"/>
    </row>
    <row r="13" spans="1:9" ht="26.25" customHeight="1" x14ac:dyDescent="0.25">
      <c r="A13" s="21" t="s">
        <v>86</v>
      </c>
      <c r="B13" s="101" t="s">
        <v>87</v>
      </c>
      <c r="C13" s="102"/>
      <c r="D13" s="22" t="s">
        <v>88</v>
      </c>
      <c r="E13" s="101" t="s">
        <v>89</v>
      </c>
      <c r="F13" s="102"/>
      <c r="G13" s="22" t="s">
        <v>90</v>
      </c>
      <c r="H13" s="101" t="s">
        <v>91</v>
      </c>
      <c r="I13" s="102"/>
    </row>
    <row r="14" spans="1:9" ht="15.75" x14ac:dyDescent="0.25">
      <c r="A14" s="23" t="s">
        <v>92</v>
      </c>
      <c r="B14" s="24" t="s">
        <v>93</v>
      </c>
      <c r="C14" s="25">
        <f>SUM('Stavební rozpočet'!AB12:AB246)</f>
        <v>0</v>
      </c>
      <c r="D14" s="109" t="s">
        <v>94</v>
      </c>
      <c r="E14" s="110"/>
      <c r="F14" s="25">
        <f>VORN!I15</f>
        <v>0</v>
      </c>
      <c r="G14" s="109" t="s">
        <v>74</v>
      </c>
      <c r="H14" s="110"/>
      <c r="I14" s="26">
        <f>VORN!I21</f>
        <v>0</v>
      </c>
    </row>
    <row r="15" spans="1:9" ht="15.75" x14ac:dyDescent="0.25">
      <c r="A15" s="27" t="s">
        <v>20</v>
      </c>
      <c r="B15" s="24" t="s">
        <v>95</v>
      </c>
      <c r="C15" s="25">
        <f>SUM('Stavební rozpočet'!AC12:AC246)</f>
        <v>0</v>
      </c>
      <c r="D15" s="109" t="s">
        <v>96</v>
      </c>
      <c r="E15" s="110"/>
      <c r="F15" s="25">
        <f>VORN!I16</f>
        <v>0</v>
      </c>
      <c r="G15" s="109" t="s">
        <v>97</v>
      </c>
      <c r="H15" s="110"/>
      <c r="I15" s="26">
        <f>VORN!I22</f>
        <v>0</v>
      </c>
    </row>
    <row r="16" spans="1:9" ht="15.75" x14ac:dyDescent="0.25">
      <c r="A16" s="23" t="s">
        <v>98</v>
      </c>
      <c r="B16" s="24" t="s">
        <v>93</v>
      </c>
      <c r="C16" s="25">
        <f>SUM('Stavební rozpočet'!AD12:AD246)</f>
        <v>0</v>
      </c>
      <c r="D16" s="109" t="s">
        <v>99</v>
      </c>
      <c r="E16" s="110"/>
      <c r="F16" s="25">
        <f>VORN!I17</f>
        <v>0</v>
      </c>
      <c r="G16" s="109" t="s">
        <v>100</v>
      </c>
      <c r="H16" s="110"/>
      <c r="I16" s="26">
        <f>VORN!I23</f>
        <v>0</v>
      </c>
    </row>
    <row r="17" spans="1:9" ht="15.75" x14ac:dyDescent="0.25">
      <c r="A17" s="27" t="s">
        <v>20</v>
      </c>
      <c r="B17" s="24" t="s">
        <v>95</v>
      </c>
      <c r="C17" s="25">
        <f>SUM('Stavební rozpočet'!AE12:AE246)</f>
        <v>0</v>
      </c>
      <c r="D17" s="109" t="s">
        <v>20</v>
      </c>
      <c r="E17" s="110"/>
      <c r="F17" s="26" t="s">
        <v>20</v>
      </c>
      <c r="G17" s="109" t="s">
        <v>101</v>
      </c>
      <c r="H17" s="110"/>
      <c r="I17" s="26">
        <f>VORN!I24</f>
        <v>0</v>
      </c>
    </row>
    <row r="18" spans="1:9" ht="15.75" x14ac:dyDescent="0.25">
      <c r="A18" s="23" t="s">
        <v>102</v>
      </c>
      <c r="B18" s="24" t="s">
        <v>93</v>
      </c>
      <c r="C18" s="25">
        <f>SUM('Stavební rozpočet'!AF12:AF246)</f>
        <v>0</v>
      </c>
      <c r="D18" s="109" t="s">
        <v>20</v>
      </c>
      <c r="E18" s="110"/>
      <c r="F18" s="26" t="s">
        <v>20</v>
      </c>
      <c r="G18" s="109" t="s">
        <v>103</v>
      </c>
      <c r="H18" s="110"/>
      <c r="I18" s="26">
        <f>VORN!I25</f>
        <v>0</v>
      </c>
    </row>
    <row r="19" spans="1:9" ht="15.75" x14ac:dyDescent="0.25">
      <c r="A19" s="27" t="s">
        <v>20</v>
      </c>
      <c r="B19" s="24" t="s">
        <v>95</v>
      </c>
      <c r="C19" s="25">
        <f>SUM('Stavební rozpočet'!AG12:AG246)</f>
        <v>0</v>
      </c>
      <c r="D19" s="109" t="s">
        <v>20</v>
      </c>
      <c r="E19" s="110"/>
      <c r="F19" s="26" t="s">
        <v>20</v>
      </c>
      <c r="G19" s="109" t="s">
        <v>104</v>
      </c>
      <c r="H19" s="110"/>
      <c r="I19" s="26">
        <f>VORN!I26</f>
        <v>0</v>
      </c>
    </row>
    <row r="20" spans="1:9" ht="15.75" x14ac:dyDescent="0.25">
      <c r="A20" s="103" t="s">
        <v>105</v>
      </c>
      <c r="B20" s="104"/>
      <c r="C20" s="25">
        <f>SUM('Stavební rozpočet'!AH12:AH246)</f>
        <v>0</v>
      </c>
      <c r="D20" s="109" t="s">
        <v>20</v>
      </c>
      <c r="E20" s="110"/>
      <c r="F20" s="26" t="s">
        <v>20</v>
      </c>
      <c r="G20" s="109" t="s">
        <v>20</v>
      </c>
      <c r="H20" s="110"/>
      <c r="I20" s="26" t="s">
        <v>20</v>
      </c>
    </row>
    <row r="21" spans="1:9" ht="15.75" x14ac:dyDescent="0.25">
      <c r="A21" s="105" t="s">
        <v>106</v>
      </c>
      <c r="B21" s="106"/>
      <c r="C21" s="28">
        <f>SUM('Stavební rozpočet'!Z12:Z246)</f>
        <v>0</v>
      </c>
      <c r="D21" s="111" t="s">
        <v>20</v>
      </c>
      <c r="E21" s="112"/>
      <c r="F21" s="29" t="s">
        <v>20</v>
      </c>
      <c r="G21" s="111" t="s">
        <v>20</v>
      </c>
      <c r="H21" s="112"/>
      <c r="I21" s="29" t="s">
        <v>20</v>
      </c>
    </row>
    <row r="22" spans="1:9" ht="16.5" customHeight="1" x14ac:dyDescent="0.25">
      <c r="A22" s="107" t="s">
        <v>107</v>
      </c>
      <c r="B22" s="108"/>
      <c r="C22" s="30">
        <f>SUM(C14:C21)</f>
        <v>0</v>
      </c>
      <c r="D22" s="113" t="s">
        <v>108</v>
      </c>
      <c r="E22" s="108"/>
      <c r="F22" s="30">
        <f>SUM(F14:F21)</f>
        <v>0</v>
      </c>
      <c r="G22" s="113" t="s">
        <v>109</v>
      </c>
      <c r="H22" s="108"/>
      <c r="I22" s="30">
        <f>SUM(I14:I21)</f>
        <v>0</v>
      </c>
    </row>
    <row r="23" spans="1:9" ht="15.75" x14ac:dyDescent="0.25">
      <c r="D23" s="103" t="s">
        <v>110</v>
      </c>
      <c r="E23" s="104"/>
      <c r="F23" s="31">
        <v>0</v>
      </c>
      <c r="G23" s="114" t="s">
        <v>111</v>
      </c>
      <c r="H23" s="104"/>
      <c r="I23" s="25">
        <v>0</v>
      </c>
    </row>
    <row r="24" spans="1:9" ht="15.75" x14ac:dyDescent="0.25">
      <c r="G24" s="103" t="s">
        <v>112</v>
      </c>
      <c r="H24" s="104"/>
      <c r="I24" s="28">
        <f>vorn_sum</f>
        <v>0</v>
      </c>
    </row>
    <row r="25" spans="1:9" ht="15.75" x14ac:dyDescent="0.25">
      <c r="G25" s="103" t="s">
        <v>113</v>
      </c>
      <c r="H25" s="104"/>
      <c r="I25" s="30">
        <v>0</v>
      </c>
    </row>
    <row r="27" spans="1:9" ht="15.75" x14ac:dyDescent="0.25">
      <c r="A27" s="115" t="s">
        <v>114</v>
      </c>
      <c r="B27" s="116"/>
      <c r="C27" s="32">
        <f>SUM('Stavební rozpočet'!AJ12:AJ246)</f>
        <v>0</v>
      </c>
    </row>
    <row r="28" spans="1:9" ht="15.75" x14ac:dyDescent="0.25">
      <c r="A28" s="117" t="s">
        <v>115</v>
      </c>
      <c r="B28" s="118"/>
      <c r="C28" s="33">
        <f>SUM('Stavební rozpočet'!AK12:AK246)</f>
        <v>0</v>
      </c>
      <c r="D28" s="119" t="s">
        <v>116</v>
      </c>
      <c r="E28" s="116"/>
      <c r="F28" s="32">
        <f>ROUND(C28*(12/100),2)</f>
        <v>0</v>
      </c>
      <c r="G28" s="119" t="s">
        <v>117</v>
      </c>
      <c r="H28" s="116"/>
      <c r="I28" s="32">
        <f>SUM(C27:C29)</f>
        <v>0</v>
      </c>
    </row>
    <row r="29" spans="1:9" ht="15.75" x14ac:dyDescent="0.25">
      <c r="A29" s="117" t="s">
        <v>118</v>
      </c>
      <c r="B29" s="118"/>
      <c r="C29" s="33">
        <f>SUM('Stavební rozpočet'!AL12:AL246)</f>
        <v>0</v>
      </c>
      <c r="D29" s="120" t="s">
        <v>119</v>
      </c>
      <c r="E29" s="118"/>
      <c r="F29" s="33">
        <f>ROUND(C29*(21/100),2)</f>
        <v>0</v>
      </c>
      <c r="G29" s="120" t="s">
        <v>120</v>
      </c>
      <c r="H29" s="118"/>
      <c r="I29" s="33">
        <f>SUM(F28:F29)+I28</f>
        <v>0</v>
      </c>
    </row>
    <row r="31" spans="1:9" x14ac:dyDescent="0.25">
      <c r="A31" s="121" t="s">
        <v>121</v>
      </c>
      <c r="B31" s="122"/>
      <c r="C31" s="123"/>
      <c r="D31" s="130" t="s">
        <v>122</v>
      </c>
      <c r="E31" s="122"/>
      <c r="F31" s="123"/>
      <c r="G31" s="130" t="s">
        <v>123</v>
      </c>
      <c r="H31" s="122"/>
      <c r="I31" s="123"/>
    </row>
    <row r="32" spans="1:9" x14ac:dyDescent="0.25">
      <c r="A32" s="124" t="s">
        <v>20</v>
      </c>
      <c r="B32" s="125"/>
      <c r="C32" s="126"/>
      <c r="D32" s="131" t="s">
        <v>20</v>
      </c>
      <c r="E32" s="125"/>
      <c r="F32" s="126"/>
      <c r="G32" s="131" t="s">
        <v>20</v>
      </c>
      <c r="H32" s="125"/>
      <c r="I32" s="126"/>
    </row>
    <row r="33" spans="1:9" x14ac:dyDescent="0.25">
      <c r="A33" s="124" t="s">
        <v>20</v>
      </c>
      <c r="B33" s="125"/>
      <c r="C33" s="126"/>
      <c r="D33" s="131" t="s">
        <v>20</v>
      </c>
      <c r="E33" s="125"/>
      <c r="F33" s="126"/>
      <c r="G33" s="131" t="s">
        <v>20</v>
      </c>
      <c r="H33" s="125"/>
      <c r="I33" s="126"/>
    </row>
    <row r="34" spans="1:9" x14ac:dyDescent="0.25">
      <c r="A34" s="124" t="s">
        <v>20</v>
      </c>
      <c r="B34" s="125"/>
      <c r="C34" s="126"/>
      <c r="D34" s="131" t="s">
        <v>20</v>
      </c>
      <c r="E34" s="125"/>
      <c r="F34" s="126"/>
      <c r="G34" s="131" t="s">
        <v>20</v>
      </c>
      <c r="H34" s="125"/>
      <c r="I34" s="126"/>
    </row>
    <row r="35" spans="1:9" x14ac:dyDescent="0.25">
      <c r="A35" s="127" t="s">
        <v>124</v>
      </c>
      <c r="B35" s="128"/>
      <c r="C35" s="129"/>
      <c r="D35" s="132" t="s">
        <v>124</v>
      </c>
      <c r="E35" s="128"/>
      <c r="F35" s="129"/>
      <c r="G35" s="132" t="s">
        <v>124</v>
      </c>
      <c r="H35" s="128"/>
      <c r="I35" s="129"/>
    </row>
    <row r="36" spans="1:9" x14ac:dyDescent="0.25">
      <c r="A36" s="34" t="s">
        <v>78</v>
      </c>
    </row>
    <row r="37" spans="1:9" ht="12.75" customHeight="1" x14ac:dyDescent="0.25">
      <c r="A37" s="81" t="s">
        <v>20</v>
      </c>
      <c r="B37" s="74"/>
      <c r="C37" s="74"/>
      <c r="D37" s="74"/>
      <c r="E37" s="74"/>
      <c r="F37" s="74"/>
      <c r="G37" s="74"/>
      <c r="H37" s="74"/>
      <c r="I37" s="74"/>
    </row>
  </sheetData>
  <sheetProtection password="C665" sheet="1"/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H2:H3"/>
    <mergeCell ref="H4:H5"/>
    <mergeCell ref="H6:H7"/>
    <mergeCell ref="H8:H9"/>
    <mergeCell ref="H10:H11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0"/>
  <sheetViews>
    <sheetView workbookViewId="0">
      <pane ySplit="11" topLeftCell="A12" activePane="bottomLeft" state="frozen"/>
      <selection pane="bottomLeft" activeCell="A20" sqref="A20:L20"/>
    </sheetView>
  </sheetViews>
  <sheetFormatPr defaultColWidth="12.140625" defaultRowHeight="15" customHeight="1" x14ac:dyDescent="0.25"/>
  <cols>
    <col min="1" max="1" width="7.5703125" customWidth="1"/>
    <col min="2" max="11" width="15.7109375" customWidth="1"/>
    <col min="12" max="12" width="14.28515625" customWidth="1"/>
    <col min="13" max="16" width="12.140625" hidden="1"/>
  </cols>
  <sheetData>
    <row r="1" spans="1:16" ht="54.75" customHeight="1" x14ac:dyDescent="0.25">
      <c r="A1" s="70" t="s">
        <v>79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6" x14ac:dyDescent="0.25">
      <c r="A2" s="71" t="s">
        <v>1</v>
      </c>
      <c r="B2" s="72"/>
      <c r="C2" s="72"/>
      <c r="D2" s="78" t="str">
        <f>'Stavební rozpočet'!D2</f>
        <v>Sdružený přechod a přejezd pro cyklisty na ul. Opavské u křižovatky a ul. K Řempu</v>
      </c>
      <c r="E2" s="79"/>
      <c r="F2" s="79"/>
      <c r="G2" s="82" t="s">
        <v>2</v>
      </c>
      <c r="H2" s="82" t="str">
        <f>'Stavební rozpočet'!H2</f>
        <v xml:space="preserve"> </v>
      </c>
      <c r="I2" s="82" t="s">
        <v>3</v>
      </c>
      <c r="J2" s="82" t="str">
        <f>'Stavební rozpočet'!J2</f>
        <v>Město Krnov</v>
      </c>
      <c r="K2" s="72"/>
      <c r="L2" s="83"/>
    </row>
    <row r="3" spans="1:16" ht="15" customHeight="1" x14ac:dyDescent="0.25">
      <c r="A3" s="73"/>
      <c r="B3" s="74"/>
      <c r="C3" s="74"/>
      <c r="D3" s="80"/>
      <c r="E3" s="80"/>
      <c r="F3" s="80"/>
      <c r="G3" s="74"/>
      <c r="H3" s="74"/>
      <c r="I3" s="74"/>
      <c r="J3" s="74"/>
      <c r="K3" s="74"/>
      <c r="L3" s="84"/>
    </row>
    <row r="4" spans="1:16" x14ac:dyDescent="0.25">
      <c r="A4" s="75" t="s">
        <v>4</v>
      </c>
      <c r="B4" s="74"/>
      <c r="C4" s="74"/>
      <c r="D4" s="81" t="str">
        <f>'Stavební rozpočet'!D4</f>
        <v xml:space="preserve"> </v>
      </c>
      <c r="E4" s="74"/>
      <c r="F4" s="74"/>
      <c r="G4" s="81" t="s">
        <v>5</v>
      </c>
      <c r="H4" s="81" t="str">
        <f>'Stavební rozpočet'!H4</f>
        <v xml:space="preserve"> </v>
      </c>
      <c r="I4" s="81" t="s">
        <v>6</v>
      </c>
      <c r="J4" s="81" t="str">
        <f>'Stavební rozpočet'!J4</f>
        <v>PUDIS a.s.</v>
      </c>
      <c r="K4" s="74"/>
      <c r="L4" s="84"/>
    </row>
    <row r="5" spans="1:16" ht="15" customHeight="1" x14ac:dyDescent="0.25">
      <c r="A5" s="73"/>
      <c r="B5" s="74"/>
      <c r="C5" s="74"/>
      <c r="D5" s="74"/>
      <c r="E5" s="74"/>
      <c r="F5" s="74"/>
      <c r="G5" s="74"/>
      <c r="H5" s="74"/>
      <c r="I5" s="74"/>
      <c r="J5" s="74"/>
      <c r="K5" s="74"/>
      <c r="L5" s="84"/>
    </row>
    <row r="6" spans="1:16" x14ac:dyDescent="0.25">
      <c r="A6" s="75" t="s">
        <v>7</v>
      </c>
      <c r="B6" s="74"/>
      <c r="C6" s="74"/>
      <c r="D6" s="81" t="str">
        <f>'Stavební rozpočet'!D6</f>
        <v>ul. Opavská</v>
      </c>
      <c r="E6" s="74"/>
      <c r="F6" s="74"/>
      <c r="G6" s="81" t="s">
        <v>8</v>
      </c>
      <c r="H6" s="81" t="str">
        <f>'Stavební rozpočet'!H6</f>
        <v xml:space="preserve"> </v>
      </c>
      <c r="I6" s="81" t="s">
        <v>9</v>
      </c>
      <c r="J6" s="81" t="str">
        <f>'Stavební rozpočet'!J6</f>
        <v> </v>
      </c>
      <c r="K6" s="74"/>
      <c r="L6" s="84"/>
    </row>
    <row r="7" spans="1:16" ht="15" customHeight="1" x14ac:dyDescent="0.25">
      <c r="A7" s="73"/>
      <c r="B7" s="74"/>
      <c r="C7" s="74"/>
      <c r="D7" s="74"/>
      <c r="E7" s="74"/>
      <c r="F7" s="74"/>
      <c r="G7" s="74"/>
      <c r="H7" s="74"/>
      <c r="I7" s="74"/>
      <c r="J7" s="74"/>
      <c r="K7" s="74"/>
      <c r="L7" s="84"/>
    </row>
    <row r="8" spans="1:16" x14ac:dyDescent="0.25">
      <c r="A8" s="75" t="s">
        <v>10</v>
      </c>
      <c r="B8" s="74"/>
      <c r="C8" s="74"/>
      <c r="D8" s="81" t="str">
        <f>'Stavební rozpočet'!D8</f>
        <v xml:space="preserve"> </v>
      </c>
      <c r="E8" s="74"/>
      <c r="F8" s="74"/>
      <c r="G8" s="81" t="s">
        <v>11</v>
      </c>
      <c r="H8" s="81" t="str">
        <f>'Stavební rozpočet'!H8</f>
        <v>30.07.2024</v>
      </c>
      <c r="I8" s="81" t="s">
        <v>12</v>
      </c>
      <c r="J8" s="81" t="str">
        <f>'Stavební rozpočet'!J8</f>
        <v> </v>
      </c>
      <c r="K8" s="74"/>
      <c r="L8" s="84"/>
    </row>
    <row r="9" spans="1:16" x14ac:dyDescent="0.25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85"/>
    </row>
    <row r="10" spans="1:16" x14ac:dyDescent="0.25">
      <c r="A10" s="4" t="s">
        <v>13</v>
      </c>
      <c r="B10" s="86" t="s">
        <v>13</v>
      </c>
      <c r="C10" s="87"/>
      <c r="D10" s="87"/>
      <c r="E10" s="87"/>
      <c r="F10" s="87"/>
      <c r="G10" s="87"/>
      <c r="H10" s="87"/>
      <c r="I10" s="87"/>
      <c r="J10" s="87"/>
      <c r="K10" s="88"/>
      <c r="L10" s="6" t="s">
        <v>14</v>
      </c>
    </row>
    <row r="11" spans="1:16" x14ac:dyDescent="0.25">
      <c r="A11" s="7" t="s">
        <v>15</v>
      </c>
      <c r="B11" s="89" t="s">
        <v>17</v>
      </c>
      <c r="C11" s="90"/>
      <c r="D11" s="90"/>
      <c r="E11" s="90"/>
      <c r="F11" s="90"/>
      <c r="G11" s="90"/>
      <c r="H11" s="90"/>
      <c r="I11" s="90"/>
      <c r="J11" s="90"/>
      <c r="K11" s="91"/>
      <c r="L11" s="9" t="s">
        <v>18</v>
      </c>
    </row>
    <row r="12" spans="1:16" x14ac:dyDescent="0.25">
      <c r="A12" s="10" t="s">
        <v>19</v>
      </c>
      <c r="B12" s="92" t="s">
        <v>21</v>
      </c>
      <c r="C12" s="92"/>
      <c r="D12" s="92"/>
      <c r="E12" s="92"/>
      <c r="F12" s="92"/>
      <c r="G12" s="92"/>
      <c r="H12" s="92"/>
      <c r="I12" s="92"/>
      <c r="J12" s="92"/>
      <c r="K12" s="92"/>
      <c r="L12" s="12">
        <f>'Stavební rozpočet'!I12</f>
        <v>0</v>
      </c>
      <c r="M12" s="13" t="s">
        <v>22</v>
      </c>
      <c r="N12" s="14">
        <f t="shared" ref="N12:N17" si="0">IF(M12="F",0,L12)</f>
        <v>0</v>
      </c>
      <c r="O12" s="2" t="s">
        <v>19</v>
      </c>
      <c r="P12" s="14">
        <f t="shared" ref="P12:P17" si="1">IF(M12="T",0,L12)</f>
        <v>0</v>
      </c>
    </row>
    <row r="13" spans="1:16" x14ac:dyDescent="0.25">
      <c r="A13" s="1" t="s">
        <v>44</v>
      </c>
      <c r="B13" s="74" t="s">
        <v>45</v>
      </c>
      <c r="C13" s="74"/>
      <c r="D13" s="74"/>
      <c r="E13" s="74"/>
      <c r="F13" s="74"/>
      <c r="G13" s="74"/>
      <c r="H13" s="74"/>
      <c r="I13" s="74"/>
      <c r="J13" s="74"/>
      <c r="K13" s="74"/>
      <c r="L13" s="15">
        <f>'Stavební rozpočet'!I67</f>
        <v>0</v>
      </c>
      <c r="M13" s="13" t="s">
        <v>22</v>
      </c>
      <c r="N13" s="14">
        <f t="shared" si="0"/>
        <v>0</v>
      </c>
      <c r="O13" s="2" t="s">
        <v>44</v>
      </c>
      <c r="P13" s="14">
        <f t="shared" si="1"/>
        <v>0</v>
      </c>
    </row>
    <row r="14" spans="1:16" x14ac:dyDescent="0.25">
      <c r="A14" s="1" t="s">
        <v>50</v>
      </c>
      <c r="B14" s="74" t="s">
        <v>51</v>
      </c>
      <c r="C14" s="74"/>
      <c r="D14" s="74"/>
      <c r="E14" s="74"/>
      <c r="F14" s="74"/>
      <c r="G14" s="74"/>
      <c r="H14" s="74"/>
      <c r="I14" s="74"/>
      <c r="J14" s="74"/>
      <c r="K14" s="74"/>
      <c r="L14" s="15">
        <f>'Stavební rozpočet'!I98</f>
        <v>0</v>
      </c>
      <c r="M14" s="13" t="s">
        <v>22</v>
      </c>
      <c r="N14" s="14">
        <f t="shared" si="0"/>
        <v>0</v>
      </c>
      <c r="O14" s="2" t="s">
        <v>50</v>
      </c>
      <c r="P14" s="14">
        <f t="shared" si="1"/>
        <v>0</v>
      </c>
    </row>
    <row r="15" spans="1:16" x14ac:dyDescent="0.25">
      <c r="A15" s="1" t="s">
        <v>56</v>
      </c>
      <c r="B15" s="74" t="s">
        <v>45</v>
      </c>
      <c r="C15" s="74"/>
      <c r="D15" s="74"/>
      <c r="E15" s="74"/>
      <c r="F15" s="74"/>
      <c r="G15" s="74"/>
      <c r="H15" s="74"/>
      <c r="I15" s="74"/>
      <c r="J15" s="74"/>
      <c r="K15" s="74"/>
      <c r="L15" s="15">
        <f>'Stavební rozpočet'!I163</f>
        <v>0</v>
      </c>
      <c r="M15" s="13" t="s">
        <v>22</v>
      </c>
      <c r="N15" s="14">
        <f t="shared" si="0"/>
        <v>0</v>
      </c>
      <c r="O15" s="2" t="s">
        <v>56</v>
      </c>
      <c r="P15" s="14">
        <f t="shared" si="1"/>
        <v>0</v>
      </c>
    </row>
    <row r="16" spans="1:16" x14ac:dyDescent="0.25">
      <c r="A16" s="1" t="s">
        <v>59</v>
      </c>
      <c r="B16" s="74" t="s">
        <v>60</v>
      </c>
      <c r="C16" s="74"/>
      <c r="D16" s="74"/>
      <c r="E16" s="74"/>
      <c r="F16" s="74"/>
      <c r="G16" s="74"/>
      <c r="H16" s="74"/>
      <c r="I16" s="74"/>
      <c r="J16" s="74"/>
      <c r="K16" s="74"/>
      <c r="L16" s="15">
        <f>'Stavební rozpočet'!I197</f>
        <v>0</v>
      </c>
      <c r="M16" s="13" t="s">
        <v>22</v>
      </c>
      <c r="N16" s="14">
        <f t="shared" si="0"/>
        <v>0</v>
      </c>
      <c r="O16" s="2" t="s">
        <v>59</v>
      </c>
      <c r="P16" s="14">
        <f t="shared" si="1"/>
        <v>0</v>
      </c>
    </row>
    <row r="17" spans="1:16" x14ac:dyDescent="0.25">
      <c r="A17" s="16" t="s">
        <v>63</v>
      </c>
      <c r="B17" s="93" t="s">
        <v>64</v>
      </c>
      <c r="C17" s="93"/>
      <c r="D17" s="93"/>
      <c r="E17" s="93"/>
      <c r="F17" s="93"/>
      <c r="G17" s="93"/>
      <c r="H17" s="93"/>
      <c r="I17" s="93"/>
      <c r="J17" s="93"/>
      <c r="K17" s="93"/>
      <c r="L17" s="18">
        <f>'Stavební rozpočet'!I210</f>
        <v>0</v>
      </c>
      <c r="M17" s="13" t="s">
        <v>22</v>
      </c>
      <c r="N17" s="14">
        <f t="shared" si="0"/>
        <v>0</v>
      </c>
      <c r="O17" s="2" t="s">
        <v>63</v>
      </c>
      <c r="P17" s="14">
        <f t="shared" si="1"/>
        <v>0</v>
      </c>
    </row>
    <row r="18" spans="1:16" x14ac:dyDescent="0.25">
      <c r="J18" s="94" t="s">
        <v>77</v>
      </c>
      <c r="K18" s="94"/>
      <c r="L18" s="19">
        <f>SUM(P12:P17)</f>
        <v>0</v>
      </c>
    </row>
    <row r="19" spans="1:16" x14ac:dyDescent="0.25">
      <c r="A19" s="20" t="s">
        <v>78</v>
      </c>
    </row>
    <row r="20" spans="1:16" ht="12.75" customHeight="1" x14ac:dyDescent="0.25">
      <c r="A20" s="81" t="s">
        <v>20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</row>
  </sheetData>
  <sheetProtection password="C665" sheet="1"/>
  <mergeCells count="35">
    <mergeCell ref="B16:K16"/>
    <mergeCell ref="B17:K17"/>
    <mergeCell ref="J18:K18"/>
    <mergeCell ref="A20:L20"/>
    <mergeCell ref="B11:K11"/>
    <mergeCell ref="B12:K12"/>
    <mergeCell ref="B13:K13"/>
    <mergeCell ref="B14:K14"/>
    <mergeCell ref="B15:K15"/>
    <mergeCell ref="J2:L3"/>
    <mergeCell ref="J4:L5"/>
    <mergeCell ref="J6:L7"/>
    <mergeCell ref="J8:L9"/>
    <mergeCell ref="B10:K10"/>
    <mergeCell ref="H8:H9"/>
    <mergeCell ref="I2:I3"/>
    <mergeCell ref="I4:I5"/>
    <mergeCell ref="I6:I7"/>
    <mergeCell ref="I8:I9"/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H6:H7"/>
  </mergeCells>
  <pageMargins left="0.393999993801117" right="0.393999993801117" top="0.59100002050399802" bottom="0.59100002050399802" header="0" footer="0"/>
  <pageSetup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5"/>
  <sheetViews>
    <sheetView workbookViewId="0">
      <pane ySplit="11" topLeftCell="A42" activePane="bottomLeft" state="frozen"/>
      <selection pane="bottomLeft" activeCell="D2" sqref="D2:F3"/>
    </sheetView>
  </sheetViews>
  <sheetFormatPr defaultColWidth="12.140625" defaultRowHeight="15" customHeight="1" x14ac:dyDescent="0.25"/>
  <cols>
    <col min="1" max="1" width="7.5703125" customWidth="1"/>
    <col min="2" max="2" width="5.7109375" customWidth="1"/>
    <col min="3" max="11" width="15.7109375" customWidth="1"/>
    <col min="12" max="12" width="14.28515625" customWidth="1"/>
    <col min="13" max="16" width="12.140625" hidden="1"/>
  </cols>
  <sheetData>
    <row r="1" spans="1:16" ht="54.75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6" x14ac:dyDescent="0.25">
      <c r="A2" s="71" t="s">
        <v>1</v>
      </c>
      <c r="B2" s="72"/>
      <c r="C2" s="72"/>
      <c r="D2" s="78" t="str">
        <f>'Stavební rozpočet'!D2</f>
        <v>Sdružený přechod a přejezd pro cyklisty na ul. Opavské u křižovatky a ul. K Řempu</v>
      </c>
      <c r="E2" s="79"/>
      <c r="F2" s="79"/>
      <c r="G2" s="82" t="s">
        <v>2</v>
      </c>
      <c r="H2" s="82" t="str">
        <f>'Stavební rozpočet'!H2</f>
        <v xml:space="preserve"> </v>
      </c>
      <c r="I2" s="82" t="s">
        <v>3</v>
      </c>
      <c r="J2" s="82" t="str">
        <f>'Stavební rozpočet'!J2</f>
        <v>Město Krnov</v>
      </c>
      <c r="K2" s="72"/>
      <c r="L2" s="83"/>
    </row>
    <row r="3" spans="1:16" ht="15" customHeight="1" x14ac:dyDescent="0.25">
      <c r="A3" s="73"/>
      <c r="B3" s="74"/>
      <c r="C3" s="74"/>
      <c r="D3" s="80"/>
      <c r="E3" s="80"/>
      <c r="F3" s="80"/>
      <c r="G3" s="74"/>
      <c r="H3" s="74"/>
      <c r="I3" s="74"/>
      <c r="J3" s="74"/>
      <c r="K3" s="74"/>
      <c r="L3" s="84"/>
    </row>
    <row r="4" spans="1:16" x14ac:dyDescent="0.25">
      <c r="A4" s="75" t="s">
        <v>4</v>
      </c>
      <c r="B4" s="74"/>
      <c r="C4" s="74"/>
      <c r="D4" s="81" t="str">
        <f>'Stavební rozpočet'!D4</f>
        <v xml:space="preserve"> </v>
      </c>
      <c r="E4" s="74"/>
      <c r="F4" s="74"/>
      <c r="G4" s="81" t="s">
        <v>5</v>
      </c>
      <c r="H4" s="81" t="str">
        <f>'Stavební rozpočet'!H4</f>
        <v xml:space="preserve"> </v>
      </c>
      <c r="I4" s="81" t="s">
        <v>6</v>
      </c>
      <c r="J4" s="81" t="str">
        <f>'Stavební rozpočet'!J4</f>
        <v>PUDIS a.s.</v>
      </c>
      <c r="K4" s="74"/>
      <c r="L4" s="84"/>
    </row>
    <row r="5" spans="1:16" ht="15" customHeight="1" x14ac:dyDescent="0.25">
      <c r="A5" s="73"/>
      <c r="B5" s="74"/>
      <c r="C5" s="74"/>
      <c r="D5" s="74"/>
      <c r="E5" s="74"/>
      <c r="F5" s="74"/>
      <c r="G5" s="74"/>
      <c r="H5" s="74"/>
      <c r="I5" s="74"/>
      <c r="J5" s="74"/>
      <c r="K5" s="74"/>
      <c r="L5" s="84"/>
    </row>
    <row r="6" spans="1:16" x14ac:dyDescent="0.25">
      <c r="A6" s="75" t="s">
        <v>7</v>
      </c>
      <c r="B6" s="74"/>
      <c r="C6" s="74"/>
      <c r="D6" s="81" t="str">
        <f>'Stavební rozpočet'!D6</f>
        <v>ul. Opavská</v>
      </c>
      <c r="E6" s="74"/>
      <c r="F6" s="74"/>
      <c r="G6" s="81" t="s">
        <v>8</v>
      </c>
      <c r="H6" s="81" t="str">
        <f>'Stavební rozpočet'!H6</f>
        <v xml:space="preserve"> </v>
      </c>
      <c r="I6" s="81" t="s">
        <v>9</v>
      </c>
      <c r="J6" s="81" t="str">
        <f>'Stavební rozpočet'!J6</f>
        <v> </v>
      </c>
      <c r="K6" s="74"/>
      <c r="L6" s="84"/>
    </row>
    <row r="7" spans="1:16" ht="15" customHeight="1" x14ac:dyDescent="0.25">
      <c r="A7" s="73"/>
      <c r="B7" s="74"/>
      <c r="C7" s="74"/>
      <c r="D7" s="74"/>
      <c r="E7" s="74"/>
      <c r="F7" s="74"/>
      <c r="G7" s="74"/>
      <c r="H7" s="74"/>
      <c r="I7" s="74"/>
      <c r="J7" s="74"/>
      <c r="K7" s="74"/>
      <c r="L7" s="84"/>
    </row>
    <row r="8" spans="1:16" x14ac:dyDescent="0.25">
      <c r="A8" s="75" t="s">
        <v>10</v>
      </c>
      <c r="B8" s="74"/>
      <c r="C8" s="74"/>
      <c r="D8" s="81" t="str">
        <f>'Stavební rozpočet'!D8</f>
        <v xml:space="preserve"> </v>
      </c>
      <c r="E8" s="74"/>
      <c r="F8" s="74"/>
      <c r="G8" s="81" t="s">
        <v>11</v>
      </c>
      <c r="H8" s="81" t="str">
        <f>'Stavební rozpočet'!H8</f>
        <v>30.07.2024</v>
      </c>
      <c r="I8" s="81" t="s">
        <v>12</v>
      </c>
      <c r="J8" s="81" t="str">
        <f>'Stavební rozpočet'!J8</f>
        <v> </v>
      </c>
      <c r="K8" s="74"/>
      <c r="L8" s="84"/>
    </row>
    <row r="9" spans="1:16" x14ac:dyDescent="0.25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85"/>
    </row>
    <row r="10" spans="1:16" x14ac:dyDescent="0.25">
      <c r="A10" s="4" t="s">
        <v>13</v>
      </c>
      <c r="B10" s="5" t="s">
        <v>13</v>
      </c>
      <c r="C10" s="86" t="s">
        <v>13</v>
      </c>
      <c r="D10" s="87"/>
      <c r="E10" s="87"/>
      <c r="F10" s="87"/>
      <c r="G10" s="87"/>
      <c r="H10" s="87"/>
      <c r="I10" s="87"/>
      <c r="J10" s="87"/>
      <c r="K10" s="88"/>
      <c r="L10" s="6" t="s">
        <v>14</v>
      </c>
    </row>
    <row r="11" spans="1:16" x14ac:dyDescent="0.25">
      <c r="A11" s="7" t="s">
        <v>15</v>
      </c>
      <c r="B11" s="8" t="s">
        <v>16</v>
      </c>
      <c r="C11" s="89" t="s">
        <v>17</v>
      </c>
      <c r="D11" s="90"/>
      <c r="E11" s="90"/>
      <c r="F11" s="90"/>
      <c r="G11" s="90"/>
      <c r="H11" s="90"/>
      <c r="I11" s="90"/>
      <c r="J11" s="90"/>
      <c r="K11" s="91"/>
      <c r="L11" s="9" t="s">
        <v>18</v>
      </c>
    </row>
    <row r="12" spans="1:16" x14ac:dyDescent="0.25">
      <c r="A12" s="10" t="s">
        <v>19</v>
      </c>
      <c r="B12" s="11" t="s">
        <v>20</v>
      </c>
      <c r="C12" s="92" t="s">
        <v>21</v>
      </c>
      <c r="D12" s="92"/>
      <c r="E12" s="92"/>
      <c r="F12" s="92"/>
      <c r="G12" s="92"/>
      <c r="H12" s="92"/>
      <c r="I12" s="92"/>
      <c r="J12" s="92"/>
      <c r="K12" s="92"/>
      <c r="L12" s="12">
        <f>'Stavební rozpočet'!I12</f>
        <v>0</v>
      </c>
      <c r="M12" s="13" t="s">
        <v>22</v>
      </c>
      <c r="N12" s="14">
        <f t="shared" ref="N12:N43" si="0">IF(M12="F",0,L12)</f>
        <v>0</v>
      </c>
      <c r="O12" s="2" t="s">
        <v>19</v>
      </c>
      <c r="P12" s="14">
        <f t="shared" ref="P12:P43" si="1">IF(M12="T",0,L12)</f>
        <v>0</v>
      </c>
    </row>
    <row r="13" spans="1:16" x14ac:dyDescent="0.25">
      <c r="A13" s="1" t="s">
        <v>19</v>
      </c>
      <c r="B13" s="2" t="s">
        <v>23</v>
      </c>
      <c r="C13" s="74" t="s">
        <v>24</v>
      </c>
      <c r="D13" s="74"/>
      <c r="E13" s="74"/>
      <c r="F13" s="74"/>
      <c r="G13" s="74"/>
      <c r="H13" s="74"/>
      <c r="I13" s="74"/>
      <c r="J13" s="74"/>
      <c r="K13" s="74"/>
      <c r="L13" s="15">
        <f>'Stavební rozpočet'!I13</f>
        <v>0</v>
      </c>
      <c r="M13" s="13" t="s">
        <v>25</v>
      </c>
      <c r="N13" s="14">
        <f t="shared" si="0"/>
        <v>0</v>
      </c>
      <c r="O13" s="2" t="s">
        <v>19</v>
      </c>
      <c r="P13" s="14">
        <f t="shared" si="1"/>
        <v>0</v>
      </c>
    </row>
    <row r="14" spans="1:16" x14ac:dyDescent="0.25">
      <c r="A14" s="1" t="s">
        <v>19</v>
      </c>
      <c r="B14" s="2" t="s">
        <v>26</v>
      </c>
      <c r="C14" s="74" t="s">
        <v>27</v>
      </c>
      <c r="D14" s="74"/>
      <c r="E14" s="74"/>
      <c r="F14" s="74"/>
      <c r="G14" s="74"/>
      <c r="H14" s="74"/>
      <c r="I14" s="74"/>
      <c r="J14" s="74"/>
      <c r="K14" s="74"/>
      <c r="L14" s="15">
        <f>'Stavební rozpočet'!I19</f>
        <v>0</v>
      </c>
      <c r="M14" s="13" t="s">
        <v>25</v>
      </c>
      <c r="N14" s="14">
        <f t="shared" si="0"/>
        <v>0</v>
      </c>
      <c r="O14" s="2" t="s">
        <v>19</v>
      </c>
      <c r="P14" s="14">
        <f t="shared" si="1"/>
        <v>0</v>
      </c>
    </row>
    <row r="15" spans="1:16" x14ac:dyDescent="0.25">
      <c r="A15" s="1" t="s">
        <v>19</v>
      </c>
      <c r="B15" s="2" t="s">
        <v>28</v>
      </c>
      <c r="C15" s="74" t="s">
        <v>29</v>
      </c>
      <c r="D15" s="74"/>
      <c r="E15" s="74"/>
      <c r="F15" s="74"/>
      <c r="G15" s="74"/>
      <c r="H15" s="74"/>
      <c r="I15" s="74"/>
      <c r="J15" s="74"/>
      <c r="K15" s="74"/>
      <c r="L15" s="15">
        <f>'Stavební rozpočet'!I23</f>
        <v>0</v>
      </c>
      <c r="M15" s="13" t="s">
        <v>25</v>
      </c>
      <c r="N15" s="14">
        <f t="shared" si="0"/>
        <v>0</v>
      </c>
      <c r="O15" s="2" t="s">
        <v>19</v>
      </c>
      <c r="P15" s="14">
        <f t="shared" si="1"/>
        <v>0</v>
      </c>
    </row>
    <row r="16" spans="1:16" x14ac:dyDescent="0.25">
      <c r="A16" s="1" t="s">
        <v>19</v>
      </c>
      <c r="B16" s="2" t="s">
        <v>30</v>
      </c>
      <c r="C16" s="74" t="s">
        <v>31</v>
      </c>
      <c r="D16" s="74"/>
      <c r="E16" s="74"/>
      <c r="F16" s="74"/>
      <c r="G16" s="74"/>
      <c r="H16" s="74"/>
      <c r="I16" s="74"/>
      <c r="J16" s="74"/>
      <c r="K16" s="74"/>
      <c r="L16" s="15">
        <f>'Stavební rozpočet'!I28</f>
        <v>0</v>
      </c>
      <c r="M16" s="13" t="s">
        <v>25</v>
      </c>
      <c r="N16" s="14">
        <f t="shared" si="0"/>
        <v>0</v>
      </c>
      <c r="O16" s="2" t="s">
        <v>19</v>
      </c>
      <c r="P16" s="14">
        <f t="shared" si="1"/>
        <v>0</v>
      </c>
    </row>
    <row r="17" spans="1:16" x14ac:dyDescent="0.25">
      <c r="A17" s="1" t="s">
        <v>19</v>
      </c>
      <c r="B17" s="2" t="s">
        <v>32</v>
      </c>
      <c r="C17" s="74" t="s">
        <v>33</v>
      </c>
      <c r="D17" s="74"/>
      <c r="E17" s="74"/>
      <c r="F17" s="74"/>
      <c r="G17" s="74"/>
      <c r="H17" s="74"/>
      <c r="I17" s="74"/>
      <c r="J17" s="74"/>
      <c r="K17" s="74"/>
      <c r="L17" s="15">
        <f>'Stavební rozpočet'!I33</f>
        <v>0</v>
      </c>
      <c r="M17" s="13" t="s">
        <v>25</v>
      </c>
      <c r="N17" s="14">
        <f t="shared" si="0"/>
        <v>0</v>
      </c>
      <c r="O17" s="2" t="s">
        <v>19</v>
      </c>
      <c r="P17" s="14">
        <f t="shared" si="1"/>
        <v>0</v>
      </c>
    </row>
    <row r="18" spans="1:16" x14ac:dyDescent="0.25">
      <c r="A18" s="1" t="s">
        <v>19</v>
      </c>
      <c r="B18" s="2" t="s">
        <v>34</v>
      </c>
      <c r="C18" s="74" t="s">
        <v>35</v>
      </c>
      <c r="D18" s="74"/>
      <c r="E18" s="74"/>
      <c r="F18" s="74"/>
      <c r="G18" s="74"/>
      <c r="H18" s="74"/>
      <c r="I18" s="74"/>
      <c r="J18" s="74"/>
      <c r="K18" s="74"/>
      <c r="L18" s="15">
        <f>'Stavební rozpočet'!I42</f>
        <v>0</v>
      </c>
      <c r="M18" s="13" t="s">
        <v>25</v>
      </c>
      <c r="N18" s="14">
        <f t="shared" si="0"/>
        <v>0</v>
      </c>
      <c r="O18" s="2" t="s">
        <v>19</v>
      </c>
      <c r="P18" s="14">
        <f t="shared" si="1"/>
        <v>0</v>
      </c>
    </row>
    <row r="19" spans="1:16" x14ac:dyDescent="0.25">
      <c r="A19" s="1" t="s">
        <v>19</v>
      </c>
      <c r="B19" s="2" t="s">
        <v>36</v>
      </c>
      <c r="C19" s="74" t="s">
        <v>37</v>
      </c>
      <c r="D19" s="74"/>
      <c r="E19" s="74"/>
      <c r="F19" s="74"/>
      <c r="G19" s="74"/>
      <c r="H19" s="74"/>
      <c r="I19" s="74"/>
      <c r="J19" s="74"/>
      <c r="K19" s="74"/>
      <c r="L19" s="15">
        <f>'Stavební rozpočet'!I44</f>
        <v>0</v>
      </c>
      <c r="M19" s="13" t="s">
        <v>25</v>
      </c>
      <c r="N19" s="14">
        <f t="shared" si="0"/>
        <v>0</v>
      </c>
      <c r="O19" s="2" t="s">
        <v>19</v>
      </c>
      <c r="P19" s="14">
        <f t="shared" si="1"/>
        <v>0</v>
      </c>
    </row>
    <row r="20" spans="1:16" x14ac:dyDescent="0.25">
      <c r="A20" s="1" t="s">
        <v>19</v>
      </c>
      <c r="B20" s="2" t="s">
        <v>38</v>
      </c>
      <c r="C20" s="74" t="s">
        <v>39</v>
      </c>
      <c r="D20" s="74"/>
      <c r="E20" s="74"/>
      <c r="F20" s="74"/>
      <c r="G20" s="74"/>
      <c r="H20" s="74"/>
      <c r="I20" s="74"/>
      <c r="J20" s="74"/>
      <c r="K20" s="74"/>
      <c r="L20" s="15">
        <f>'Stavební rozpočet'!I49</f>
        <v>0</v>
      </c>
      <c r="M20" s="13" t="s">
        <v>25</v>
      </c>
      <c r="N20" s="14">
        <f t="shared" si="0"/>
        <v>0</v>
      </c>
      <c r="O20" s="2" t="s">
        <v>19</v>
      </c>
      <c r="P20" s="14">
        <f t="shared" si="1"/>
        <v>0</v>
      </c>
    </row>
    <row r="21" spans="1:16" x14ac:dyDescent="0.25">
      <c r="A21" s="1" t="s">
        <v>19</v>
      </c>
      <c r="B21" s="2" t="s">
        <v>40</v>
      </c>
      <c r="C21" s="74" t="s">
        <v>41</v>
      </c>
      <c r="D21" s="74"/>
      <c r="E21" s="74"/>
      <c r="F21" s="74"/>
      <c r="G21" s="74"/>
      <c r="H21" s="74"/>
      <c r="I21" s="74"/>
      <c r="J21" s="74"/>
      <c r="K21" s="74"/>
      <c r="L21" s="15">
        <f>'Stavební rozpočet'!I58</f>
        <v>0</v>
      </c>
      <c r="M21" s="13" t="s">
        <v>25</v>
      </c>
      <c r="N21" s="14">
        <f t="shared" si="0"/>
        <v>0</v>
      </c>
      <c r="O21" s="2" t="s">
        <v>19</v>
      </c>
      <c r="P21" s="14">
        <f t="shared" si="1"/>
        <v>0</v>
      </c>
    </row>
    <row r="22" spans="1:16" x14ac:dyDescent="0.25">
      <c r="A22" s="1" t="s">
        <v>19</v>
      </c>
      <c r="B22" s="2" t="s">
        <v>42</v>
      </c>
      <c r="C22" s="74" t="s">
        <v>43</v>
      </c>
      <c r="D22" s="74"/>
      <c r="E22" s="74"/>
      <c r="F22" s="74"/>
      <c r="G22" s="74"/>
      <c r="H22" s="74"/>
      <c r="I22" s="74"/>
      <c r="J22" s="74"/>
      <c r="K22" s="74"/>
      <c r="L22" s="15">
        <f>'Stavební rozpočet'!I60</f>
        <v>0</v>
      </c>
      <c r="M22" s="13" t="s">
        <v>25</v>
      </c>
      <c r="N22" s="14">
        <f t="shared" si="0"/>
        <v>0</v>
      </c>
      <c r="O22" s="2" t="s">
        <v>19</v>
      </c>
      <c r="P22" s="14">
        <f t="shared" si="1"/>
        <v>0</v>
      </c>
    </row>
    <row r="23" spans="1:16" x14ac:dyDescent="0.25">
      <c r="A23" s="1" t="s">
        <v>44</v>
      </c>
      <c r="B23" s="2" t="s">
        <v>20</v>
      </c>
      <c r="C23" s="74" t="s">
        <v>45</v>
      </c>
      <c r="D23" s="74"/>
      <c r="E23" s="74"/>
      <c r="F23" s="74"/>
      <c r="G23" s="74"/>
      <c r="H23" s="74"/>
      <c r="I23" s="74"/>
      <c r="J23" s="74"/>
      <c r="K23" s="74"/>
      <c r="L23" s="15">
        <f>'Stavební rozpočet'!I67</f>
        <v>0</v>
      </c>
      <c r="M23" s="13" t="s">
        <v>22</v>
      </c>
      <c r="N23" s="14">
        <f t="shared" si="0"/>
        <v>0</v>
      </c>
      <c r="O23" s="2" t="s">
        <v>44</v>
      </c>
      <c r="P23" s="14">
        <f t="shared" si="1"/>
        <v>0</v>
      </c>
    </row>
    <row r="24" spans="1:16" x14ac:dyDescent="0.25">
      <c r="A24" s="1" t="s">
        <v>44</v>
      </c>
      <c r="B24" s="2" t="s">
        <v>26</v>
      </c>
      <c r="C24" s="74" t="s">
        <v>27</v>
      </c>
      <c r="D24" s="74"/>
      <c r="E24" s="74"/>
      <c r="F24" s="74"/>
      <c r="G24" s="74"/>
      <c r="H24" s="74"/>
      <c r="I24" s="74"/>
      <c r="J24" s="74"/>
      <c r="K24" s="74"/>
      <c r="L24" s="15">
        <f>'Stavební rozpočet'!I68</f>
        <v>0</v>
      </c>
      <c r="M24" s="13" t="s">
        <v>25</v>
      </c>
      <c r="N24" s="14">
        <f t="shared" si="0"/>
        <v>0</v>
      </c>
      <c r="O24" s="2" t="s">
        <v>44</v>
      </c>
      <c r="P24" s="14">
        <f t="shared" si="1"/>
        <v>0</v>
      </c>
    </row>
    <row r="25" spans="1:16" x14ac:dyDescent="0.25">
      <c r="A25" s="1" t="s">
        <v>44</v>
      </c>
      <c r="B25" s="2" t="s">
        <v>46</v>
      </c>
      <c r="C25" s="74" t="s">
        <v>47</v>
      </c>
      <c r="D25" s="74"/>
      <c r="E25" s="74"/>
      <c r="F25" s="74"/>
      <c r="G25" s="74"/>
      <c r="H25" s="74"/>
      <c r="I25" s="74"/>
      <c r="J25" s="74"/>
      <c r="K25" s="74"/>
      <c r="L25" s="15">
        <f>'Stavební rozpočet'!I70</f>
        <v>0</v>
      </c>
      <c r="M25" s="13" t="s">
        <v>25</v>
      </c>
      <c r="N25" s="14">
        <f t="shared" si="0"/>
        <v>0</v>
      </c>
      <c r="O25" s="2" t="s">
        <v>44</v>
      </c>
      <c r="P25" s="14">
        <f t="shared" si="1"/>
        <v>0</v>
      </c>
    </row>
    <row r="26" spans="1:16" x14ac:dyDescent="0.25">
      <c r="A26" s="1" t="s">
        <v>44</v>
      </c>
      <c r="B26" s="2" t="s">
        <v>30</v>
      </c>
      <c r="C26" s="74" t="s">
        <v>31</v>
      </c>
      <c r="D26" s="74"/>
      <c r="E26" s="74"/>
      <c r="F26" s="74"/>
      <c r="G26" s="74"/>
      <c r="H26" s="74"/>
      <c r="I26" s="74"/>
      <c r="J26" s="74"/>
      <c r="K26" s="74"/>
      <c r="L26" s="15">
        <f>'Stavební rozpočet'!I76</f>
        <v>0</v>
      </c>
      <c r="M26" s="13" t="s">
        <v>25</v>
      </c>
      <c r="N26" s="14">
        <f t="shared" si="0"/>
        <v>0</v>
      </c>
      <c r="O26" s="2" t="s">
        <v>44</v>
      </c>
      <c r="P26" s="14">
        <f t="shared" si="1"/>
        <v>0</v>
      </c>
    </row>
    <row r="27" spans="1:16" x14ac:dyDescent="0.25">
      <c r="A27" s="1" t="s">
        <v>44</v>
      </c>
      <c r="B27" s="2" t="s">
        <v>34</v>
      </c>
      <c r="C27" s="74" t="s">
        <v>35</v>
      </c>
      <c r="D27" s="74"/>
      <c r="E27" s="74"/>
      <c r="F27" s="74"/>
      <c r="G27" s="74"/>
      <c r="H27" s="74"/>
      <c r="I27" s="74"/>
      <c r="J27" s="74"/>
      <c r="K27" s="74"/>
      <c r="L27" s="15">
        <f>'Stavební rozpočet'!I79</f>
        <v>0</v>
      </c>
      <c r="M27" s="13" t="s">
        <v>25</v>
      </c>
      <c r="N27" s="14">
        <f t="shared" si="0"/>
        <v>0</v>
      </c>
      <c r="O27" s="2" t="s">
        <v>44</v>
      </c>
      <c r="P27" s="14">
        <f t="shared" si="1"/>
        <v>0</v>
      </c>
    </row>
    <row r="28" spans="1:16" x14ac:dyDescent="0.25">
      <c r="A28" s="1" t="s">
        <v>44</v>
      </c>
      <c r="B28" s="2" t="s">
        <v>38</v>
      </c>
      <c r="C28" s="74" t="s">
        <v>39</v>
      </c>
      <c r="D28" s="74"/>
      <c r="E28" s="74"/>
      <c r="F28" s="74"/>
      <c r="G28" s="74"/>
      <c r="H28" s="74"/>
      <c r="I28" s="74"/>
      <c r="J28" s="74"/>
      <c r="K28" s="74"/>
      <c r="L28" s="15">
        <f>'Stavební rozpočet'!I81</f>
        <v>0</v>
      </c>
      <c r="M28" s="13" t="s">
        <v>25</v>
      </c>
      <c r="N28" s="14">
        <f t="shared" si="0"/>
        <v>0</v>
      </c>
      <c r="O28" s="2" t="s">
        <v>44</v>
      </c>
      <c r="P28" s="14">
        <f t="shared" si="1"/>
        <v>0</v>
      </c>
    </row>
    <row r="29" spans="1:16" x14ac:dyDescent="0.25">
      <c r="A29" s="1" t="s">
        <v>44</v>
      </c>
      <c r="B29" s="2" t="s">
        <v>48</v>
      </c>
      <c r="C29" s="74" t="s">
        <v>49</v>
      </c>
      <c r="D29" s="74"/>
      <c r="E29" s="74"/>
      <c r="F29" s="74"/>
      <c r="G29" s="74"/>
      <c r="H29" s="74"/>
      <c r="I29" s="74"/>
      <c r="J29" s="74"/>
      <c r="K29" s="74"/>
      <c r="L29" s="15">
        <f>'Stavební rozpočet'!I91</f>
        <v>0</v>
      </c>
      <c r="M29" s="13" t="s">
        <v>25</v>
      </c>
      <c r="N29" s="14">
        <f t="shared" si="0"/>
        <v>0</v>
      </c>
      <c r="O29" s="2" t="s">
        <v>44</v>
      </c>
      <c r="P29" s="14">
        <f t="shared" si="1"/>
        <v>0</v>
      </c>
    </row>
    <row r="30" spans="1:16" x14ac:dyDescent="0.25">
      <c r="A30" s="1" t="s">
        <v>44</v>
      </c>
      <c r="B30" s="2" t="s">
        <v>42</v>
      </c>
      <c r="C30" s="74" t="s">
        <v>43</v>
      </c>
      <c r="D30" s="74"/>
      <c r="E30" s="74"/>
      <c r="F30" s="74"/>
      <c r="G30" s="74"/>
      <c r="H30" s="74"/>
      <c r="I30" s="74"/>
      <c r="J30" s="74"/>
      <c r="K30" s="74"/>
      <c r="L30" s="15">
        <f>'Stavební rozpočet'!I93</f>
        <v>0</v>
      </c>
      <c r="M30" s="13" t="s">
        <v>25</v>
      </c>
      <c r="N30" s="14">
        <f t="shared" si="0"/>
        <v>0</v>
      </c>
      <c r="O30" s="2" t="s">
        <v>44</v>
      </c>
      <c r="P30" s="14">
        <f t="shared" si="1"/>
        <v>0</v>
      </c>
    </row>
    <row r="31" spans="1:16" x14ac:dyDescent="0.25">
      <c r="A31" s="1" t="s">
        <v>50</v>
      </c>
      <c r="B31" s="2" t="s">
        <v>20</v>
      </c>
      <c r="C31" s="74" t="s">
        <v>51</v>
      </c>
      <c r="D31" s="74"/>
      <c r="E31" s="74"/>
      <c r="F31" s="74"/>
      <c r="G31" s="74"/>
      <c r="H31" s="74"/>
      <c r="I31" s="74"/>
      <c r="J31" s="74"/>
      <c r="K31" s="74"/>
      <c r="L31" s="15">
        <f>'Stavební rozpočet'!I98</f>
        <v>0</v>
      </c>
      <c r="M31" s="13" t="s">
        <v>22</v>
      </c>
      <c r="N31" s="14">
        <f t="shared" si="0"/>
        <v>0</v>
      </c>
      <c r="O31" s="2" t="s">
        <v>50</v>
      </c>
      <c r="P31" s="14">
        <f t="shared" si="1"/>
        <v>0</v>
      </c>
    </row>
    <row r="32" spans="1:16" x14ac:dyDescent="0.25">
      <c r="A32" s="1" t="s">
        <v>50</v>
      </c>
      <c r="B32" s="2" t="s">
        <v>23</v>
      </c>
      <c r="C32" s="74" t="s">
        <v>24</v>
      </c>
      <c r="D32" s="74"/>
      <c r="E32" s="74"/>
      <c r="F32" s="74"/>
      <c r="G32" s="74"/>
      <c r="H32" s="74"/>
      <c r="I32" s="74"/>
      <c r="J32" s="74"/>
      <c r="K32" s="74"/>
      <c r="L32" s="15">
        <f>'Stavební rozpočet'!I99</f>
        <v>0</v>
      </c>
      <c r="M32" s="13" t="s">
        <v>25</v>
      </c>
      <c r="N32" s="14">
        <f t="shared" si="0"/>
        <v>0</v>
      </c>
      <c r="O32" s="2" t="s">
        <v>50</v>
      </c>
      <c r="P32" s="14">
        <f t="shared" si="1"/>
        <v>0</v>
      </c>
    </row>
    <row r="33" spans="1:16" x14ac:dyDescent="0.25">
      <c r="A33" s="1" t="s">
        <v>50</v>
      </c>
      <c r="B33" s="2" t="s">
        <v>26</v>
      </c>
      <c r="C33" s="74" t="s">
        <v>27</v>
      </c>
      <c r="D33" s="74"/>
      <c r="E33" s="74"/>
      <c r="F33" s="74"/>
      <c r="G33" s="74"/>
      <c r="H33" s="74"/>
      <c r="I33" s="74"/>
      <c r="J33" s="74"/>
      <c r="K33" s="74"/>
      <c r="L33" s="15">
        <f>'Stavební rozpočet'!I105</f>
        <v>0</v>
      </c>
      <c r="M33" s="13" t="s">
        <v>25</v>
      </c>
      <c r="N33" s="14">
        <f t="shared" si="0"/>
        <v>0</v>
      </c>
      <c r="O33" s="2" t="s">
        <v>50</v>
      </c>
      <c r="P33" s="14">
        <f t="shared" si="1"/>
        <v>0</v>
      </c>
    </row>
    <row r="34" spans="1:16" x14ac:dyDescent="0.25">
      <c r="A34" s="1" t="s">
        <v>50</v>
      </c>
      <c r="B34" s="2" t="s">
        <v>28</v>
      </c>
      <c r="C34" s="74" t="s">
        <v>29</v>
      </c>
      <c r="D34" s="74"/>
      <c r="E34" s="74"/>
      <c r="F34" s="74"/>
      <c r="G34" s="74"/>
      <c r="H34" s="74"/>
      <c r="I34" s="74"/>
      <c r="J34" s="74"/>
      <c r="K34" s="74"/>
      <c r="L34" s="15">
        <f>'Stavební rozpočet'!I109</f>
        <v>0</v>
      </c>
      <c r="M34" s="13" t="s">
        <v>25</v>
      </c>
      <c r="N34" s="14">
        <f t="shared" si="0"/>
        <v>0</v>
      </c>
      <c r="O34" s="2" t="s">
        <v>50</v>
      </c>
      <c r="P34" s="14">
        <f t="shared" si="1"/>
        <v>0</v>
      </c>
    </row>
    <row r="35" spans="1:16" x14ac:dyDescent="0.25">
      <c r="A35" s="1" t="s">
        <v>50</v>
      </c>
      <c r="B35" s="2" t="s">
        <v>30</v>
      </c>
      <c r="C35" s="74" t="s">
        <v>31</v>
      </c>
      <c r="D35" s="74"/>
      <c r="E35" s="74"/>
      <c r="F35" s="74"/>
      <c r="G35" s="74"/>
      <c r="H35" s="74"/>
      <c r="I35" s="74"/>
      <c r="J35" s="74"/>
      <c r="K35" s="74"/>
      <c r="L35" s="15">
        <f>'Stavební rozpočet'!I122</f>
        <v>0</v>
      </c>
      <c r="M35" s="13" t="s">
        <v>25</v>
      </c>
      <c r="N35" s="14">
        <f t="shared" si="0"/>
        <v>0</v>
      </c>
      <c r="O35" s="2" t="s">
        <v>50</v>
      </c>
      <c r="P35" s="14">
        <f t="shared" si="1"/>
        <v>0</v>
      </c>
    </row>
    <row r="36" spans="1:16" x14ac:dyDescent="0.25">
      <c r="A36" s="1" t="s">
        <v>50</v>
      </c>
      <c r="B36" s="2" t="s">
        <v>32</v>
      </c>
      <c r="C36" s="74" t="s">
        <v>33</v>
      </c>
      <c r="D36" s="74"/>
      <c r="E36" s="74"/>
      <c r="F36" s="74"/>
      <c r="G36" s="74"/>
      <c r="H36" s="74"/>
      <c r="I36" s="74"/>
      <c r="J36" s="74"/>
      <c r="K36" s="74"/>
      <c r="L36" s="15">
        <f>'Stavební rozpočet'!I127</f>
        <v>0</v>
      </c>
      <c r="M36" s="13" t="s">
        <v>25</v>
      </c>
      <c r="N36" s="14">
        <f t="shared" si="0"/>
        <v>0</v>
      </c>
      <c r="O36" s="2" t="s">
        <v>50</v>
      </c>
      <c r="P36" s="14">
        <f t="shared" si="1"/>
        <v>0</v>
      </c>
    </row>
    <row r="37" spans="1:16" x14ac:dyDescent="0.25">
      <c r="A37" s="1" t="s">
        <v>50</v>
      </c>
      <c r="B37" s="2" t="s">
        <v>34</v>
      </c>
      <c r="C37" s="74" t="s">
        <v>35</v>
      </c>
      <c r="D37" s="74"/>
      <c r="E37" s="74"/>
      <c r="F37" s="74"/>
      <c r="G37" s="74"/>
      <c r="H37" s="74"/>
      <c r="I37" s="74"/>
      <c r="J37" s="74"/>
      <c r="K37" s="74"/>
      <c r="L37" s="15">
        <f>'Stavební rozpočet'!I137</f>
        <v>0</v>
      </c>
      <c r="M37" s="13" t="s">
        <v>25</v>
      </c>
      <c r="N37" s="14">
        <f t="shared" si="0"/>
        <v>0</v>
      </c>
      <c r="O37" s="2" t="s">
        <v>50</v>
      </c>
      <c r="P37" s="14">
        <f t="shared" si="1"/>
        <v>0</v>
      </c>
    </row>
    <row r="38" spans="1:16" x14ac:dyDescent="0.25">
      <c r="A38" s="1" t="s">
        <v>50</v>
      </c>
      <c r="B38" s="2" t="s">
        <v>52</v>
      </c>
      <c r="C38" s="74" t="s">
        <v>53</v>
      </c>
      <c r="D38" s="74"/>
      <c r="E38" s="74"/>
      <c r="F38" s="74"/>
      <c r="G38" s="74"/>
      <c r="H38" s="74"/>
      <c r="I38" s="74"/>
      <c r="J38" s="74"/>
      <c r="K38" s="74"/>
      <c r="L38" s="15">
        <f>'Stavební rozpočet'!I139</f>
        <v>0</v>
      </c>
      <c r="M38" s="13" t="s">
        <v>25</v>
      </c>
      <c r="N38" s="14">
        <f t="shared" si="0"/>
        <v>0</v>
      </c>
      <c r="O38" s="2" t="s">
        <v>50</v>
      </c>
      <c r="P38" s="14">
        <f t="shared" si="1"/>
        <v>0</v>
      </c>
    </row>
    <row r="39" spans="1:16" x14ac:dyDescent="0.25">
      <c r="A39" s="1" t="s">
        <v>50</v>
      </c>
      <c r="B39" s="2" t="s">
        <v>54</v>
      </c>
      <c r="C39" s="74" t="s">
        <v>55</v>
      </c>
      <c r="D39" s="74"/>
      <c r="E39" s="74"/>
      <c r="F39" s="74"/>
      <c r="G39" s="74"/>
      <c r="H39" s="74"/>
      <c r="I39" s="74"/>
      <c r="J39" s="74"/>
      <c r="K39" s="74"/>
      <c r="L39" s="15">
        <f>'Stavební rozpočet'!I142</f>
        <v>0</v>
      </c>
      <c r="M39" s="13" t="s">
        <v>25</v>
      </c>
      <c r="N39" s="14">
        <f t="shared" si="0"/>
        <v>0</v>
      </c>
      <c r="O39" s="2" t="s">
        <v>50</v>
      </c>
      <c r="P39" s="14">
        <f t="shared" si="1"/>
        <v>0</v>
      </c>
    </row>
    <row r="40" spans="1:16" x14ac:dyDescent="0.25">
      <c r="A40" s="1" t="s">
        <v>50</v>
      </c>
      <c r="B40" s="2" t="s">
        <v>38</v>
      </c>
      <c r="C40" s="74" t="s">
        <v>39</v>
      </c>
      <c r="D40" s="74"/>
      <c r="E40" s="74"/>
      <c r="F40" s="74"/>
      <c r="G40" s="74"/>
      <c r="H40" s="74"/>
      <c r="I40" s="74"/>
      <c r="J40" s="74"/>
      <c r="K40" s="74"/>
      <c r="L40" s="15">
        <f>'Stavební rozpočet'!I149</f>
        <v>0</v>
      </c>
      <c r="M40" s="13" t="s">
        <v>25</v>
      </c>
      <c r="N40" s="14">
        <f t="shared" si="0"/>
        <v>0</v>
      </c>
      <c r="O40" s="2" t="s">
        <v>50</v>
      </c>
      <c r="P40" s="14">
        <f t="shared" si="1"/>
        <v>0</v>
      </c>
    </row>
    <row r="41" spans="1:16" x14ac:dyDescent="0.25">
      <c r="A41" s="1" t="s">
        <v>50</v>
      </c>
      <c r="B41" s="2" t="s">
        <v>48</v>
      </c>
      <c r="C41" s="74" t="s">
        <v>49</v>
      </c>
      <c r="D41" s="74"/>
      <c r="E41" s="74"/>
      <c r="F41" s="74"/>
      <c r="G41" s="74"/>
      <c r="H41" s="74"/>
      <c r="I41" s="74"/>
      <c r="J41" s="74"/>
      <c r="K41" s="74"/>
      <c r="L41" s="15">
        <f>'Stavební rozpočet'!I153</f>
        <v>0</v>
      </c>
      <c r="M41" s="13" t="s">
        <v>25</v>
      </c>
      <c r="N41" s="14">
        <f t="shared" si="0"/>
        <v>0</v>
      </c>
      <c r="O41" s="2" t="s">
        <v>50</v>
      </c>
      <c r="P41" s="14">
        <f t="shared" si="1"/>
        <v>0</v>
      </c>
    </row>
    <row r="42" spans="1:16" x14ac:dyDescent="0.25">
      <c r="A42" s="1" t="s">
        <v>50</v>
      </c>
      <c r="B42" s="2" t="s">
        <v>40</v>
      </c>
      <c r="C42" s="74" t="s">
        <v>41</v>
      </c>
      <c r="D42" s="74"/>
      <c r="E42" s="74"/>
      <c r="F42" s="74"/>
      <c r="G42" s="74"/>
      <c r="H42" s="74"/>
      <c r="I42" s="74"/>
      <c r="J42" s="74"/>
      <c r="K42" s="74"/>
      <c r="L42" s="15">
        <f>'Stavební rozpočet'!I155</f>
        <v>0</v>
      </c>
      <c r="M42" s="13" t="s">
        <v>25</v>
      </c>
      <c r="N42" s="14">
        <f t="shared" si="0"/>
        <v>0</v>
      </c>
      <c r="O42" s="2" t="s">
        <v>50</v>
      </c>
      <c r="P42" s="14">
        <f t="shared" si="1"/>
        <v>0</v>
      </c>
    </row>
    <row r="43" spans="1:16" x14ac:dyDescent="0.25">
      <c r="A43" s="1" t="s">
        <v>50</v>
      </c>
      <c r="B43" s="2" t="s">
        <v>42</v>
      </c>
      <c r="C43" s="74" t="s">
        <v>43</v>
      </c>
      <c r="D43" s="74"/>
      <c r="E43" s="74"/>
      <c r="F43" s="74"/>
      <c r="G43" s="74"/>
      <c r="H43" s="74"/>
      <c r="I43" s="74"/>
      <c r="J43" s="74"/>
      <c r="K43" s="74"/>
      <c r="L43" s="15">
        <f>'Stavební rozpočet'!I157</f>
        <v>0</v>
      </c>
      <c r="M43" s="13" t="s">
        <v>25</v>
      </c>
      <c r="N43" s="14">
        <f t="shared" si="0"/>
        <v>0</v>
      </c>
      <c r="O43" s="2" t="s">
        <v>50</v>
      </c>
      <c r="P43" s="14">
        <f t="shared" si="1"/>
        <v>0</v>
      </c>
    </row>
    <row r="44" spans="1:16" x14ac:dyDescent="0.25">
      <c r="A44" s="1" t="s">
        <v>56</v>
      </c>
      <c r="B44" s="2" t="s">
        <v>20</v>
      </c>
      <c r="C44" s="74" t="s">
        <v>45</v>
      </c>
      <c r="D44" s="74"/>
      <c r="E44" s="74"/>
      <c r="F44" s="74"/>
      <c r="G44" s="74"/>
      <c r="H44" s="74"/>
      <c r="I44" s="74"/>
      <c r="J44" s="74"/>
      <c r="K44" s="74"/>
      <c r="L44" s="15">
        <f>'Stavební rozpočet'!I163</f>
        <v>0</v>
      </c>
      <c r="M44" s="13" t="s">
        <v>22</v>
      </c>
      <c r="N44" s="14">
        <f t="shared" ref="N44:N75" si="2">IF(M44="F",0,L44)</f>
        <v>0</v>
      </c>
      <c r="O44" s="2" t="s">
        <v>56</v>
      </c>
      <c r="P44" s="14">
        <f t="shared" ref="P44:P62" si="3">IF(M44="T",0,L44)</f>
        <v>0</v>
      </c>
    </row>
    <row r="45" spans="1:16" x14ac:dyDescent="0.25">
      <c r="A45" s="1" t="s">
        <v>56</v>
      </c>
      <c r="B45" s="2" t="s">
        <v>26</v>
      </c>
      <c r="C45" s="74" t="s">
        <v>27</v>
      </c>
      <c r="D45" s="74"/>
      <c r="E45" s="74"/>
      <c r="F45" s="74"/>
      <c r="G45" s="74"/>
      <c r="H45" s="74"/>
      <c r="I45" s="74"/>
      <c r="J45" s="74"/>
      <c r="K45" s="74"/>
      <c r="L45" s="15">
        <f>'Stavební rozpočet'!I164</f>
        <v>0</v>
      </c>
      <c r="M45" s="13" t="s">
        <v>25</v>
      </c>
      <c r="N45" s="14">
        <f t="shared" si="2"/>
        <v>0</v>
      </c>
      <c r="O45" s="2" t="s">
        <v>56</v>
      </c>
      <c r="P45" s="14">
        <f t="shared" si="3"/>
        <v>0</v>
      </c>
    </row>
    <row r="46" spans="1:16" x14ac:dyDescent="0.25">
      <c r="A46" s="1" t="s">
        <v>56</v>
      </c>
      <c r="B46" s="2" t="s">
        <v>46</v>
      </c>
      <c r="C46" s="74" t="s">
        <v>47</v>
      </c>
      <c r="D46" s="74"/>
      <c r="E46" s="74"/>
      <c r="F46" s="74"/>
      <c r="G46" s="74"/>
      <c r="H46" s="74"/>
      <c r="I46" s="74"/>
      <c r="J46" s="74"/>
      <c r="K46" s="74"/>
      <c r="L46" s="15">
        <f>'Stavební rozpočet'!I166</f>
        <v>0</v>
      </c>
      <c r="M46" s="13" t="s">
        <v>25</v>
      </c>
      <c r="N46" s="14">
        <f t="shared" si="2"/>
        <v>0</v>
      </c>
      <c r="O46" s="2" t="s">
        <v>56</v>
      </c>
      <c r="P46" s="14">
        <f t="shared" si="3"/>
        <v>0</v>
      </c>
    </row>
    <row r="47" spans="1:16" x14ac:dyDescent="0.25">
      <c r="A47" s="1" t="s">
        <v>56</v>
      </c>
      <c r="B47" s="2" t="s">
        <v>28</v>
      </c>
      <c r="C47" s="74" t="s">
        <v>29</v>
      </c>
      <c r="D47" s="74"/>
      <c r="E47" s="74"/>
      <c r="F47" s="74"/>
      <c r="G47" s="74"/>
      <c r="H47" s="74"/>
      <c r="I47" s="74"/>
      <c r="J47" s="74"/>
      <c r="K47" s="74"/>
      <c r="L47" s="15">
        <f>'Stavební rozpočet'!I168</f>
        <v>0</v>
      </c>
      <c r="M47" s="13" t="s">
        <v>25</v>
      </c>
      <c r="N47" s="14">
        <f t="shared" si="2"/>
        <v>0</v>
      </c>
      <c r="O47" s="2" t="s">
        <v>56</v>
      </c>
      <c r="P47" s="14">
        <f t="shared" si="3"/>
        <v>0</v>
      </c>
    </row>
    <row r="48" spans="1:16" x14ac:dyDescent="0.25">
      <c r="A48" s="1" t="s">
        <v>56</v>
      </c>
      <c r="B48" s="2" t="s">
        <v>30</v>
      </c>
      <c r="C48" s="74" t="s">
        <v>31</v>
      </c>
      <c r="D48" s="74"/>
      <c r="E48" s="74"/>
      <c r="F48" s="74"/>
      <c r="G48" s="74"/>
      <c r="H48" s="74"/>
      <c r="I48" s="74"/>
      <c r="J48" s="74"/>
      <c r="K48" s="74"/>
      <c r="L48" s="15">
        <f>'Stavební rozpočet'!I173</f>
        <v>0</v>
      </c>
      <c r="M48" s="13" t="s">
        <v>25</v>
      </c>
      <c r="N48" s="14">
        <f t="shared" si="2"/>
        <v>0</v>
      </c>
      <c r="O48" s="2" t="s">
        <v>56</v>
      </c>
      <c r="P48" s="14">
        <f t="shared" si="3"/>
        <v>0</v>
      </c>
    </row>
    <row r="49" spans="1:16" x14ac:dyDescent="0.25">
      <c r="A49" s="1" t="s">
        <v>56</v>
      </c>
      <c r="B49" s="2" t="s">
        <v>57</v>
      </c>
      <c r="C49" s="74" t="s">
        <v>58</v>
      </c>
      <c r="D49" s="74"/>
      <c r="E49" s="74"/>
      <c r="F49" s="74"/>
      <c r="G49" s="74"/>
      <c r="H49" s="74"/>
      <c r="I49" s="74"/>
      <c r="J49" s="74"/>
      <c r="K49" s="74"/>
      <c r="L49" s="15">
        <f>'Stavební rozpočet'!I176</f>
        <v>0</v>
      </c>
      <c r="M49" s="13" t="s">
        <v>25</v>
      </c>
      <c r="N49" s="14">
        <f t="shared" si="2"/>
        <v>0</v>
      </c>
      <c r="O49" s="2" t="s">
        <v>56</v>
      </c>
      <c r="P49" s="14">
        <f t="shared" si="3"/>
        <v>0</v>
      </c>
    </row>
    <row r="50" spans="1:16" x14ac:dyDescent="0.25">
      <c r="A50" s="1" t="s">
        <v>56</v>
      </c>
      <c r="B50" s="2" t="s">
        <v>38</v>
      </c>
      <c r="C50" s="74" t="s">
        <v>39</v>
      </c>
      <c r="D50" s="74"/>
      <c r="E50" s="74"/>
      <c r="F50" s="74"/>
      <c r="G50" s="74"/>
      <c r="H50" s="74"/>
      <c r="I50" s="74"/>
      <c r="J50" s="74"/>
      <c r="K50" s="74"/>
      <c r="L50" s="15">
        <f>'Stavební rozpočet'!I178</f>
        <v>0</v>
      </c>
      <c r="M50" s="13" t="s">
        <v>25</v>
      </c>
      <c r="N50" s="14">
        <f t="shared" si="2"/>
        <v>0</v>
      </c>
      <c r="O50" s="2" t="s">
        <v>56</v>
      </c>
      <c r="P50" s="14">
        <f t="shared" si="3"/>
        <v>0</v>
      </c>
    </row>
    <row r="51" spans="1:16" x14ac:dyDescent="0.25">
      <c r="A51" s="1" t="s">
        <v>56</v>
      </c>
      <c r="B51" s="2" t="s">
        <v>48</v>
      </c>
      <c r="C51" s="74" t="s">
        <v>49</v>
      </c>
      <c r="D51" s="74"/>
      <c r="E51" s="74"/>
      <c r="F51" s="74"/>
      <c r="G51" s="74"/>
      <c r="H51" s="74"/>
      <c r="I51" s="74"/>
      <c r="J51" s="74"/>
      <c r="K51" s="74"/>
      <c r="L51" s="15">
        <f>'Stavební rozpočet'!I188</f>
        <v>0</v>
      </c>
      <c r="M51" s="13" t="s">
        <v>25</v>
      </c>
      <c r="N51" s="14">
        <f t="shared" si="2"/>
        <v>0</v>
      </c>
      <c r="O51" s="2" t="s">
        <v>56</v>
      </c>
      <c r="P51" s="14">
        <f t="shared" si="3"/>
        <v>0</v>
      </c>
    </row>
    <row r="52" spans="1:16" x14ac:dyDescent="0.25">
      <c r="A52" s="1" t="s">
        <v>56</v>
      </c>
      <c r="B52" s="2" t="s">
        <v>42</v>
      </c>
      <c r="C52" s="74" t="s">
        <v>43</v>
      </c>
      <c r="D52" s="74"/>
      <c r="E52" s="74"/>
      <c r="F52" s="74"/>
      <c r="G52" s="74"/>
      <c r="H52" s="74"/>
      <c r="I52" s="74"/>
      <c r="J52" s="74"/>
      <c r="K52" s="74"/>
      <c r="L52" s="15">
        <f>'Stavební rozpočet'!I192</f>
        <v>0</v>
      </c>
      <c r="M52" s="13" t="s">
        <v>25</v>
      </c>
      <c r="N52" s="14">
        <f t="shared" si="2"/>
        <v>0</v>
      </c>
      <c r="O52" s="2" t="s">
        <v>56</v>
      </c>
      <c r="P52" s="14">
        <f t="shared" si="3"/>
        <v>0</v>
      </c>
    </row>
    <row r="53" spans="1:16" x14ac:dyDescent="0.25">
      <c r="A53" s="1" t="s">
        <v>59</v>
      </c>
      <c r="B53" s="2" t="s">
        <v>20</v>
      </c>
      <c r="C53" s="74" t="s">
        <v>60</v>
      </c>
      <c r="D53" s="74"/>
      <c r="E53" s="74"/>
      <c r="F53" s="74"/>
      <c r="G53" s="74"/>
      <c r="H53" s="74"/>
      <c r="I53" s="74"/>
      <c r="J53" s="74"/>
      <c r="K53" s="74"/>
      <c r="L53" s="15">
        <f>'Stavební rozpočet'!I197</f>
        <v>0</v>
      </c>
      <c r="M53" s="13" t="s">
        <v>22</v>
      </c>
      <c r="N53" s="14">
        <f t="shared" si="2"/>
        <v>0</v>
      </c>
      <c r="O53" s="2" t="s">
        <v>59</v>
      </c>
      <c r="P53" s="14">
        <f t="shared" si="3"/>
        <v>0</v>
      </c>
    </row>
    <row r="54" spans="1:16" x14ac:dyDescent="0.25">
      <c r="A54" s="1" t="s">
        <v>59</v>
      </c>
      <c r="B54" s="2" t="s">
        <v>61</v>
      </c>
      <c r="C54" s="74" t="s">
        <v>62</v>
      </c>
      <c r="D54" s="74"/>
      <c r="E54" s="74"/>
      <c r="F54" s="74"/>
      <c r="G54" s="74"/>
      <c r="H54" s="74"/>
      <c r="I54" s="74"/>
      <c r="J54" s="74"/>
      <c r="K54" s="74"/>
      <c r="L54" s="15">
        <f>'Stavební rozpočet'!I198</f>
        <v>0</v>
      </c>
      <c r="M54" s="13" t="s">
        <v>25</v>
      </c>
      <c r="N54" s="14">
        <f t="shared" si="2"/>
        <v>0</v>
      </c>
      <c r="O54" s="2" t="s">
        <v>59</v>
      </c>
      <c r="P54" s="14">
        <f t="shared" si="3"/>
        <v>0</v>
      </c>
    </row>
    <row r="55" spans="1:16" x14ac:dyDescent="0.25">
      <c r="A55" s="1" t="s">
        <v>63</v>
      </c>
      <c r="B55" s="2" t="s">
        <v>20</v>
      </c>
      <c r="C55" s="74" t="s">
        <v>64</v>
      </c>
      <c r="D55" s="74"/>
      <c r="E55" s="74"/>
      <c r="F55" s="74"/>
      <c r="G55" s="74"/>
      <c r="H55" s="74"/>
      <c r="I55" s="74"/>
      <c r="J55" s="74"/>
      <c r="K55" s="74"/>
      <c r="L55" s="15">
        <f>'Stavební rozpočet'!I210</f>
        <v>0</v>
      </c>
      <c r="M55" s="13" t="s">
        <v>22</v>
      </c>
      <c r="N55" s="14">
        <f t="shared" si="2"/>
        <v>0</v>
      </c>
      <c r="O55" s="2" t="s">
        <v>63</v>
      </c>
      <c r="P55" s="14">
        <f t="shared" si="3"/>
        <v>0</v>
      </c>
    </row>
    <row r="56" spans="1:16" x14ac:dyDescent="0.25">
      <c r="A56" s="1" t="s">
        <v>63</v>
      </c>
      <c r="B56" s="2" t="s">
        <v>23</v>
      </c>
      <c r="C56" s="74" t="s">
        <v>24</v>
      </c>
      <c r="D56" s="74"/>
      <c r="E56" s="74"/>
      <c r="F56" s="74"/>
      <c r="G56" s="74"/>
      <c r="H56" s="74"/>
      <c r="I56" s="74"/>
      <c r="J56" s="74"/>
      <c r="K56" s="74"/>
      <c r="L56" s="15">
        <f>'Stavební rozpočet'!I211</f>
        <v>0</v>
      </c>
      <c r="M56" s="13" t="s">
        <v>25</v>
      </c>
      <c r="N56" s="14">
        <f t="shared" si="2"/>
        <v>0</v>
      </c>
      <c r="O56" s="2" t="s">
        <v>63</v>
      </c>
      <c r="P56" s="14">
        <f t="shared" si="3"/>
        <v>0</v>
      </c>
    </row>
    <row r="57" spans="1:16" x14ac:dyDescent="0.25">
      <c r="A57" s="1" t="s">
        <v>63</v>
      </c>
      <c r="B57" s="2" t="s">
        <v>65</v>
      </c>
      <c r="C57" s="74" t="s">
        <v>66</v>
      </c>
      <c r="D57" s="74"/>
      <c r="E57" s="74"/>
      <c r="F57" s="74"/>
      <c r="G57" s="74"/>
      <c r="H57" s="74"/>
      <c r="I57" s="74"/>
      <c r="J57" s="74"/>
      <c r="K57" s="74"/>
      <c r="L57" s="15">
        <f>'Stavební rozpočet'!I214</f>
        <v>0</v>
      </c>
      <c r="M57" s="13" t="s">
        <v>25</v>
      </c>
      <c r="N57" s="14">
        <f t="shared" si="2"/>
        <v>0</v>
      </c>
      <c r="O57" s="2" t="s">
        <v>63</v>
      </c>
      <c r="P57" s="14">
        <f t="shared" si="3"/>
        <v>0</v>
      </c>
    </row>
    <row r="58" spans="1:16" x14ac:dyDescent="0.25">
      <c r="A58" s="1" t="s">
        <v>63</v>
      </c>
      <c r="B58" s="2" t="s">
        <v>67</v>
      </c>
      <c r="C58" s="74" t="s">
        <v>68</v>
      </c>
      <c r="D58" s="74"/>
      <c r="E58" s="74"/>
      <c r="F58" s="74"/>
      <c r="G58" s="74"/>
      <c r="H58" s="74"/>
      <c r="I58" s="74"/>
      <c r="J58" s="74"/>
      <c r="K58" s="74"/>
      <c r="L58" s="15">
        <f>'Stavební rozpočet'!I216</f>
        <v>0</v>
      </c>
      <c r="M58" s="13" t="s">
        <v>22</v>
      </c>
      <c r="N58" s="14">
        <f t="shared" si="2"/>
        <v>0</v>
      </c>
      <c r="O58" s="2" t="s">
        <v>63</v>
      </c>
      <c r="P58" s="14">
        <f t="shared" si="3"/>
        <v>0</v>
      </c>
    </row>
    <row r="59" spans="1:16" x14ac:dyDescent="0.25">
      <c r="A59" s="1" t="s">
        <v>63</v>
      </c>
      <c r="B59" s="2" t="s">
        <v>69</v>
      </c>
      <c r="C59" s="74" t="s">
        <v>70</v>
      </c>
      <c r="D59" s="74"/>
      <c r="E59" s="74"/>
      <c r="F59" s="74"/>
      <c r="G59" s="74"/>
      <c r="H59" s="74"/>
      <c r="I59" s="74"/>
      <c r="J59" s="74"/>
      <c r="K59" s="74"/>
      <c r="L59" s="15">
        <f>'Stavební rozpočet'!I217</f>
        <v>0</v>
      </c>
      <c r="M59" s="13" t="s">
        <v>25</v>
      </c>
      <c r="N59" s="14">
        <f t="shared" si="2"/>
        <v>0</v>
      </c>
      <c r="O59" s="2" t="s">
        <v>63</v>
      </c>
      <c r="P59" s="14">
        <f t="shared" si="3"/>
        <v>0</v>
      </c>
    </row>
    <row r="60" spans="1:16" x14ac:dyDescent="0.25">
      <c r="A60" s="1" t="s">
        <v>63</v>
      </c>
      <c r="B60" s="2" t="s">
        <v>71</v>
      </c>
      <c r="C60" s="74" t="s">
        <v>72</v>
      </c>
      <c r="D60" s="74"/>
      <c r="E60" s="74"/>
      <c r="F60" s="74"/>
      <c r="G60" s="74"/>
      <c r="H60" s="74"/>
      <c r="I60" s="74"/>
      <c r="J60" s="74"/>
      <c r="K60" s="74"/>
      <c r="L60" s="15">
        <f>'Stavební rozpočet'!I229</f>
        <v>0</v>
      </c>
      <c r="M60" s="13" t="s">
        <v>25</v>
      </c>
      <c r="N60" s="14">
        <f t="shared" si="2"/>
        <v>0</v>
      </c>
      <c r="O60" s="2" t="s">
        <v>63</v>
      </c>
      <c r="P60" s="14">
        <f t="shared" si="3"/>
        <v>0</v>
      </c>
    </row>
    <row r="61" spans="1:16" x14ac:dyDescent="0.25">
      <c r="A61" s="1" t="s">
        <v>63</v>
      </c>
      <c r="B61" s="2" t="s">
        <v>73</v>
      </c>
      <c r="C61" s="74" t="s">
        <v>74</v>
      </c>
      <c r="D61" s="74"/>
      <c r="E61" s="74"/>
      <c r="F61" s="74"/>
      <c r="G61" s="74"/>
      <c r="H61" s="74"/>
      <c r="I61" s="74"/>
      <c r="J61" s="74"/>
      <c r="K61" s="74"/>
      <c r="L61" s="15">
        <f>'Stavební rozpočet'!I234</f>
        <v>0</v>
      </c>
      <c r="M61" s="13" t="s">
        <v>25</v>
      </c>
      <c r="N61" s="14">
        <f t="shared" si="2"/>
        <v>0</v>
      </c>
      <c r="O61" s="2" t="s">
        <v>63</v>
      </c>
      <c r="P61" s="14">
        <f t="shared" si="3"/>
        <v>0</v>
      </c>
    </row>
    <row r="62" spans="1:16" x14ac:dyDescent="0.25">
      <c r="A62" s="16" t="s">
        <v>63</v>
      </c>
      <c r="B62" s="17" t="s">
        <v>75</v>
      </c>
      <c r="C62" s="93" t="s">
        <v>76</v>
      </c>
      <c r="D62" s="93"/>
      <c r="E62" s="93"/>
      <c r="F62" s="93"/>
      <c r="G62" s="93"/>
      <c r="H62" s="93"/>
      <c r="I62" s="93"/>
      <c r="J62" s="93"/>
      <c r="K62" s="93"/>
      <c r="L62" s="18">
        <f>'Stavební rozpočet'!I244</f>
        <v>0</v>
      </c>
      <c r="M62" s="13" t="s">
        <v>25</v>
      </c>
      <c r="N62" s="14">
        <f t="shared" si="2"/>
        <v>0</v>
      </c>
      <c r="O62" s="2" t="s">
        <v>63</v>
      </c>
      <c r="P62" s="14">
        <f t="shared" si="3"/>
        <v>0</v>
      </c>
    </row>
    <row r="63" spans="1:16" x14ac:dyDescent="0.25">
      <c r="J63" s="94" t="s">
        <v>77</v>
      </c>
      <c r="K63" s="94"/>
      <c r="L63" s="19">
        <f>SUM(N12:N62)</f>
        <v>0</v>
      </c>
    </row>
    <row r="64" spans="1:16" x14ac:dyDescent="0.25">
      <c r="A64" s="20" t="s">
        <v>78</v>
      </c>
    </row>
    <row r="65" spans="1:12" ht="12.75" customHeight="1" x14ac:dyDescent="0.25">
      <c r="A65" s="81" t="s">
        <v>20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</row>
  </sheetData>
  <sheetProtection password="C665" sheet="1"/>
  <mergeCells count="80">
    <mergeCell ref="C61:K61"/>
    <mergeCell ref="C62:K62"/>
    <mergeCell ref="J63:K63"/>
    <mergeCell ref="A65:L65"/>
    <mergeCell ref="C56:K56"/>
    <mergeCell ref="C57:K57"/>
    <mergeCell ref="C58:K58"/>
    <mergeCell ref="C59:K59"/>
    <mergeCell ref="C60:K60"/>
    <mergeCell ref="C51:K51"/>
    <mergeCell ref="C52:K52"/>
    <mergeCell ref="C53:K53"/>
    <mergeCell ref="C54:K54"/>
    <mergeCell ref="C55:K55"/>
    <mergeCell ref="C46:K46"/>
    <mergeCell ref="C47:K47"/>
    <mergeCell ref="C48:K48"/>
    <mergeCell ref="C49:K49"/>
    <mergeCell ref="C50:K50"/>
    <mergeCell ref="C41:K41"/>
    <mergeCell ref="C42:K42"/>
    <mergeCell ref="C43:K43"/>
    <mergeCell ref="C44:K44"/>
    <mergeCell ref="C45:K45"/>
    <mergeCell ref="C36:K36"/>
    <mergeCell ref="C37:K37"/>
    <mergeCell ref="C38:K38"/>
    <mergeCell ref="C39:K39"/>
    <mergeCell ref="C40:K40"/>
    <mergeCell ref="C31:K31"/>
    <mergeCell ref="C32:K32"/>
    <mergeCell ref="C33:K33"/>
    <mergeCell ref="C34:K34"/>
    <mergeCell ref="C35:K35"/>
    <mergeCell ref="C26:K26"/>
    <mergeCell ref="C27:K27"/>
    <mergeCell ref="C28:K28"/>
    <mergeCell ref="C29:K29"/>
    <mergeCell ref="C30:K30"/>
    <mergeCell ref="C21:K21"/>
    <mergeCell ref="C22:K22"/>
    <mergeCell ref="C23:K23"/>
    <mergeCell ref="C24:K24"/>
    <mergeCell ref="C25:K25"/>
    <mergeCell ref="C16:K16"/>
    <mergeCell ref="C17:K17"/>
    <mergeCell ref="C18:K18"/>
    <mergeCell ref="C19:K19"/>
    <mergeCell ref="C20:K20"/>
    <mergeCell ref="C11:K11"/>
    <mergeCell ref="C12:K12"/>
    <mergeCell ref="C13:K13"/>
    <mergeCell ref="C14:K14"/>
    <mergeCell ref="C15:K15"/>
    <mergeCell ref="J2:L3"/>
    <mergeCell ref="J4:L5"/>
    <mergeCell ref="J6:L7"/>
    <mergeCell ref="J8:L9"/>
    <mergeCell ref="C10:K10"/>
    <mergeCell ref="H8:H9"/>
    <mergeCell ref="I2:I3"/>
    <mergeCell ref="I4:I5"/>
    <mergeCell ref="I6:I7"/>
    <mergeCell ref="I8:I9"/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H6:H7"/>
  </mergeCells>
  <pageMargins left="0.393999993801117" right="0.393999993801117" top="0.59100002050399802" bottom="0.59100002050399802" header="0" footer="0"/>
  <pageSetup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95" t="s">
        <v>68</v>
      </c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71" t="s">
        <v>1</v>
      </c>
      <c r="B2" s="72"/>
      <c r="C2" s="78" t="str">
        <f>'Stavební rozpočet'!D2</f>
        <v>Sdružený přechod a přejezd pro cyklisty na ul. Opavské u křižovatky a ul. K Řempu</v>
      </c>
      <c r="D2" s="79"/>
      <c r="E2" s="82" t="s">
        <v>3</v>
      </c>
      <c r="F2" s="82" t="str">
        <f>'Stavební rozpočet'!J2</f>
        <v>Město Krnov</v>
      </c>
      <c r="G2" s="72"/>
      <c r="H2" s="82" t="s">
        <v>81</v>
      </c>
      <c r="I2" s="83" t="s">
        <v>82</v>
      </c>
    </row>
    <row r="3" spans="1:9" ht="25.5" customHeight="1" x14ac:dyDescent="0.25">
      <c r="A3" s="73"/>
      <c r="B3" s="74"/>
      <c r="C3" s="80"/>
      <c r="D3" s="80"/>
      <c r="E3" s="74"/>
      <c r="F3" s="74"/>
      <c r="G3" s="74"/>
      <c r="H3" s="74"/>
      <c r="I3" s="84"/>
    </row>
    <row r="4" spans="1:9" x14ac:dyDescent="0.25">
      <c r="A4" s="75" t="s">
        <v>4</v>
      </c>
      <c r="B4" s="74"/>
      <c r="C4" s="81" t="str">
        <f>'Stavební rozpočet'!D4</f>
        <v xml:space="preserve"> </v>
      </c>
      <c r="D4" s="74"/>
      <c r="E4" s="81" t="s">
        <v>6</v>
      </c>
      <c r="F4" s="81" t="str">
        <f>'Stavební rozpočet'!J4</f>
        <v>PUDIS a.s.</v>
      </c>
      <c r="G4" s="74"/>
      <c r="H4" s="81" t="s">
        <v>81</v>
      </c>
      <c r="I4" s="84" t="s">
        <v>20</v>
      </c>
    </row>
    <row r="5" spans="1:9" ht="15" customHeight="1" x14ac:dyDescent="0.25">
      <c r="A5" s="73"/>
      <c r="B5" s="74"/>
      <c r="C5" s="74"/>
      <c r="D5" s="74"/>
      <c r="E5" s="74"/>
      <c r="F5" s="74"/>
      <c r="G5" s="74"/>
      <c r="H5" s="74"/>
      <c r="I5" s="84"/>
    </row>
    <row r="6" spans="1:9" x14ac:dyDescent="0.25">
      <c r="A6" s="75" t="s">
        <v>7</v>
      </c>
      <c r="B6" s="74"/>
      <c r="C6" s="81" t="str">
        <f>'Stavební rozpočet'!D6</f>
        <v>ul. Opavská</v>
      </c>
      <c r="D6" s="74"/>
      <c r="E6" s="81" t="s">
        <v>9</v>
      </c>
      <c r="F6" s="81" t="str">
        <f>'Stavební rozpočet'!J6</f>
        <v> </v>
      </c>
      <c r="G6" s="74"/>
      <c r="H6" s="81" t="s">
        <v>81</v>
      </c>
      <c r="I6" s="84" t="s">
        <v>20</v>
      </c>
    </row>
    <row r="7" spans="1:9" ht="15" customHeight="1" x14ac:dyDescent="0.25">
      <c r="A7" s="73"/>
      <c r="B7" s="74"/>
      <c r="C7" s="74"/>
      <c r="D7" s="74"/>
      <c r="E7" s="74"/>
      <c r="F7" s="74"/>
      <c r="G7" s="74"/>
      <c r="H7" s="74"/>
      <c r="I7" s="84"/>
    </row>
    <row r="8" spans="1:9" x14ac:dyDescent="0.25">
      <c r="A8" s="75" t="s">
        <v>5</v>
      </c>
      <c r="B8" s="74"/>
      <c r="C8" s="81" t="str">
        <f>'Stavební rozpočet'!H4</f>
        <v xml:space="preserve"> </v>
      </c>
      <c r="D8" s="74"/>
      <c r="E8" s="81" t="s">
        <v>8</v>
      </c>
      <c r="F8" s="81" t="str">
        <f>'Stavební rozpočet'!H6</f>
        <v xml:space="preserve"> </v>
      </c>
      <c r="G8" s="74"/>
      <c r="H8" s="74" t="s">
        <v>83</v>
      </c>
      <c r="I8" s="97">
        <v>184</v>
      </c>
    </row>
    <row r="9" spans="1:9" x14ac:dyDescent="0.25">
      <c r="A9" s="73"/>
      <c r="B9" s="74"/>
      <c r="C9" s="74"/>
      <c r="D9" s="74"/>
      <c r="E9" s="74"/>
      <c r="F9" s="74"/>
      <c r="G9" s="74"/>
      <c r="H9" s="74"/>
      <c r="I9" s="84"/>
    </row>
    <row r="10" spans="1:9" x14ac:dyDescent="0.25">
      <c r="A10" s="75" t="s">
        <v>10</v>
      </c>
      <c r="B10" s="74"/>
      <c r="C10" s="81" t="str">
        <f>'Stavební rozpočet'!D8</f>
        <v xml:space="preserve"> </v>
      </c>
      <c r="D10" s="74"/>
      <c r="E10" s="81" t="s">
        <v>12</v>
      </c>
      <c r="F10" s="81" t="str">
        <f>'Stavební rozpočet'!J8</f>
        <v> </v>
      </c>
      <c r="G10" s="74"/>
      <c r="H10" s="74" t="s">
        <v>84</v>
      </c>
      <c r="I10" s="98" t="str">
        <f>'Stavební rozpočet'!H8</f>
        <v>30.07.2024</v>
      </c>
    </row>
    <row r="11" spans="1:9" x14ac:dyDescent="0.25">
      <c r="A11" s="96"/>
      <c r="B11" s="93"/>
      <c r="C11" s="93"/>
      <c r="D11" s="93"/>
      <c r="E11" s="93"/>
      <c r="F11" s="93"/>
      <c r="G11" s="93"/>
      <c r="H11" s="93"/>
      <c r="I11" s="99"/>
    </row>
    <row r="13" spans="1:9" ht="15.75" x14ac:dyDescent="0.25">
      <c r="A13" s="133" t="s">
        <v>125</v>
      </c>
      <c r="B13" s="133"/>
      <c r="C13" s="133"/>
      <c r="D13" s="133"/>
      <c r="E13" s="133"/>
    </row>
    <row r="14" spans="1:9" x14ac:dyDescent="0.25">
      <c r="A14" s="134" t="s">
        <v>126</v>
      </c>
      <c r="B14" s="135"/>
      <c r="C14" s="135"/>
      <c r="D14" s="135"/>
      <c r="E14" s="136"/>
      <c r="F14" s="35" t="s">
        <v>127</v>
      </c>
      <c r="G14" s="35" t="s">
        <v>128</v>
      </c>
      <c r="H14" s="35" t="s">
        <v>129</v>
      </c>
      <c r="I14" s="35" t="s">
        <v>127</v>
      </c>
    </row>
    <row r="15" spans="1:9" x14ac:dyDescent="0.25">
      <c r="A15" s="137" t="s">
        <v>94</v>
      </c>
      <c r="B15" s="138"/>
      <c r="C15" s="138"/>
      <c r="D15" s="138"/>
      <c r="E15" s="139"/>
      <c r="F15" s="36">
        <v>0</v>
      </c>
      <c r="G15" s="37" t="s">
        <v>20</v>
      </c>
      <c r="H15" s="37" t="s">
        <v>20</v>
      </c>
      <c r="I15" s="36">
        <f>F15</f>
        <v>0</v>
      </c>
    </row>
    <row r="16" spans="1:9" x14ac:dyDescent="0.25">
      <c r="A16" s="137" t="s">
        <v>96</v>
      </c>
      <c r="B16" s="138"/>
      <c r="C16" s="138"/>
      <c r="D16" s="138"/>
      <c r="E16" s="139"/>
      <c r="F16" s="36">
        <v>0</v>
      </c>
      <c r="G16" s="37" t="s">
        <v>20</v>
      </c>
      <c r="H16" s="37" t="s">
        <v>20</v>
      </c>
      <c r="I16" s="36">
        <f>F16</f>
        <v>0</v>
      </c>
    </row>
    <row r="17" spans="1:9" x14ac:dyDescent="0.25">
      <c r="A17" s="140" t="s">
        <v>99</v>
      </c>
      <c r="B17" s="141"/>
      <c r="C17" s="141"/>
      <c r="D17" s="141"/>
      <c r="E17" s="142"/>
      <c r="F17" s="38">
        <v>0</v>
      </c>
      <c r="G17" s="39" t="s">
        <v>20</v>
      </c>
      <c r="H17" s="39" t="s">
        <v>20</v>
      </c>
      <c r="I17" s="38">
        <f>F17</f>
        <v>0</v>
      </c>
    </row>
    <row r="18" spans="1:9" x14ac:dyDescent="0.25">
      <c r="A18" s="143" t="s">
        <v>130</v>
      </c>
      <c r="B18" s="144"/>
      <c r="C18" s="144"/>
      <c r="D18" s="144"/>
      <c r="E18" s="145"/>
      <c r="F18" s="40" t="s">
        <v>20</v>
      </c>
      <c r="G18" s="41" t="s">
        <v>20</v>
      </c>
      <c r="H18" s="41" t="s">
        <v>20</v>
      </c>
      <c r="I18" s="42">
        <f>SUM(I15:I17)</f>
        <v>0</v>
      </c>
    </row>
    <row r="20" spans="1:9" x14ac:dyDescent="0.25">
      <c r="A20" s="134" t="s">
        <v>91</v>
      </c>
      <c r="B20" s="135"/>
      <c r="C20" s="135"/>
      <c r="D20" s="135"/>
      <c r="E20" s="136"/>
      <c r="F20" s="35" t="s">
        <v>127</v>
      </c>
      <c r="G20" s="35" t="s">
        <v>128</v>
      </c>
      <c r="H20" s="35" t="s">
        <v>129</v>
      </c>
      <c r="I20" s="35" t="s">
        <v>127</v>
      </c>
    </row>
    <row r="21" spans="1:9" x14ac:dyDescent="0.25">
      <c r="A21" s="137" t="s">
        <v>74</v>
      </c>
      <c r="B21" s="138"/>
      <c r="C21" s="138"/>
      <c r="D21" s="138"/>
      <c r="E21" s="139"/>
      <c r="F21" s="36">
        <v>0</v>
      </c>
      <c r="G21" s="37" t="s">
        <v>20</v>
      </c>
      <c r="H21" s="37" t="s">
        <v>20</v>
      </c>
      <c r="I21" s="36">
        <f t="shared" ref="I21:I26" si="0">F21</f>
        <v>0</v>
      </c>
    </row>
    <row r="22" spans="1:9" x14ac:dyDescent="0.25">
      <c r="A22" s="137" t="s">
        <v>97</v>
      </c>
      <c r="B22" s="138"/>
      <c r="C22" s="138"/>
      <c r="D22" s="138"/>
      <c r="E22" s="139"/>
      <c r="F22" s="36">
        <v>0</v>
      </c>
      <c r="G22" s="37" t="s">
        <v>20</v>
      </c>
      <c r="H22" s="37" t="s">
        <v>20</v>
      </c>
      <c r="I22" s="36">
        <f t="shared" si="0"/>
        <v>0</v>
      </c>
    </row>
    <row r="23" spans="1:9" x14ac:dyDescent="0.25">
      <c r="A23" s="137" t="s">
        <v>100</v>
      </c>
      <c r="B23" s="138"/>
      <c r="C23" s="138"/>
      <c r="D23" s="138"/>
      <c r="E23" s="139"/>
      <c r="F23" s="36">
        <v>0</v>
      </c>
      <c r="G23" s="37" t="s">
        <v>20</v>
      </c>
      <c r="H23" s="37" t="s">
        <v>20</v>
      </c>
      <c r="I23" s="36">
        <f t="shared" si="0"/>
        <v>0</v>
      </c>
    </row>
    <row r="24" spans="1:9" x14ac:dyDescent="0.25">
      <c r="A24" s="137" t="s">
        <v>101</v>
      </c>
      <c r="B24" s="138"/>
      <c r="C24" s="138"/>
      <c r="D24" s="138"/>
      <c r="E24" s="139"/>
      <c r="F24" s="36">
        <v>0</v>
      </c>
      <c r="G24" s="37" t="s">
        <v>20</v>
      </c>
      <c r="H24" s="37" t="s">
        <v>20</v>
      </c>
      <c r="I24" s="36">
        <f t="shared" si="0"/>
        <v>0</v>
      </c>
    </row>
    <row r="25" spans="1:9" x14ac:dyDescent="0.25">
      <c r="A25" s="137" t="s">
        <v>103</v>
      </c>
      <c r="B25" s="138"/>
      <c r="C25" s="138"/>
      <c r="D25" s="138"/>
      <c r="E25" s="139"/>
      <c r="F25" s="36">
        <v>0</v>
      </c>
      <c r="G25" s="37" t="s">
        <v>20</v>
      </c>
      <c r="H25" s="37" t="s">
        <v>20</v>
      </c>
      <c r="I25" s="36">
        <f t="shared" si="0"/>
        <v>0</v>
      </c>
    </row>
    <row r="26" spans="1:9" x14ac:dyDescent="0.25">
      <c r="A26" s="140" t="s">
        <v>104</v>
      </c>
      <c r="B26" s="141"/>
      <c r="C26" s="141"/>
      <c r="D26" s="141"/>
      <c r="E26" s="142"/>
      <c r="F26" s="38">
        <v>0</v>
      </c>
      <c r="G26" s="39" t="s">
        <v>20</v>
      </c>
      <c r="H26" s="39" t="s">
        <v>20</v>
      </c>
      <c r="I26" s="38">
        <f t="shared" si="0"/>
        <v>0</v>
      </c>
    </row>
    <row r="27" spans="1:9" x14ac:dyDescent="0.25">
      <c r="A27" s="143" t="s">
        <v>131</v>
      </c>
      <c r="B27" s="144"/>
      <c r="C27" s="144"/>
      <c r="D27" s="144"/>
      <c r="E27" s="145"/>
      <c r="F27" s="40" t="s">
        <v>20</v>
      </c>
      <c r="G27" s="41" t="s">
        <v>20</v>
      </c>
      <c r="H27" s="41" t="s">
        <v>20</v>
      </c>
      <c r="I27" s="42">
        <f>SUM(I21:I26)</f>
        <v>0</v>
      </c>
    </row>
    <row r="29" spans="1:9" ht="15.75" x14ac:dyDescent="0.25">
      <c r="A29" s="146" t="s">
        <v>132</v>
      </c>
      <c r="B29" s="147"/>
      <c r="C29" s="147"/>
      <c r="D29" s="147"/>
      <c r="E29" s="148"/>
      <c r="F29" s="149">
        <f>I18+I27</f>
        <v>0</v>
      </c>
      <c r="G29" s="150"/>
      <c r="H29" s="150"/>
      <c r="I29" s="151"/>
    </row>
    <row r="33" spans="1:9" ht="15.75" x14ac:dyDescent="0.25">
      <c r="A33" s="133" t="s">
        <v>133</v>
      </c>
      <c r="B33" s="133"/>
      <c r="C33" s="133"/>
      <c r="D33" s="133"/>
      <c r="E33" s="133"/>
    </row>
    <row r="34" spans="1:9" x14ac:dyDescent="0.25">
      <c r="A34" s="134" t="s">
        <v>134</v>
      </c>
      <c r="B34" s="135"/>
      <c r="C34" s="135"/>
      <c r="D34" s="135"/>
      <c r="E34" s="136"/>
      <c r="F34" s="35" t="s">
        <v>127</v>
      </c>
      <c r="G34" s="35" t="s">
        <v>128</v>
      </c>
      <c r="H34" s="35" t="s">
        <v>129</v>
      </c>
      <c r="I34" s="35" t="s">
        <v>127</v>
      </c>
    </row>
    <row r="35" spans="1:9" x14ac:dyDescent="0.25">
      <c r="A35" s="137" t="s">
        <v>70</v>
      </c>
      <c r="B35" s="138"/>
      <c r="C35" s="138"/>
      <c r="D35" s="138"/>
      <c r="E35" s="139"/>
      <c r="F35" s="36">
        <f>SUM('Stavební rozpočet'!BM12:BM246)</f>
        <v>0</v>
      </c>
      <c r="G35" s="37" t="s">
        <v>20</v>
      </c>
      <c r="H35" s="37" t="s">
        <v>20</v>
      </c>
      <c r="I35" s="36">
        <f t="shared" ref="I35:I44" si="1">F35</f>
        <v>0</v>
      </c>
    </row>
    <row r="36" spans="1:9" x14ac:dyDescent="0.25">
      <c r="A36" s="137" t="s">
        <v>72</v>
      </c>
      <c r="B36" s="138"/>
      <c r="C36" s="138"/>
      <c r="D36" s="138"/>
      <c r="E36" s="139"/>
      <c r="F36" s="36">
        <f>SUM('Stavební rozpočet'!BN12:BN246)</f>
        <v>0</v>
      </c>
      <c r="G36" s="37" t="s">
        <v>20</v>
      </c>
      <c r="H36" s="37" t="s">
        <v>20</v>
      </c>
      <c r="I36" s="36">
        <f t="shared" si="1"/>
        <v>0</v>
      </c>
    </row>
    <row r="37" spans="1:9" x14ac:dyDescent="0.25">
      <c r="A37" s="137" t="s">
        <v>74</v>
      </c>
      <c r="B37" s="138"/>
      <c r="C37" s="138"/>
      <c r="D37" s="138"/>
      <c r="E37" s="139"/>
      <c r="F37" s="36">
        <f>SUM('Stavební rozpočet'!BO12:BO246)</f>
        <v>0</v>
      </c>
      <c r="G37" s="37" t="s">
        <v>20</v>
      </c>
      <c r="H37" s="37" t="s">
        <v>20</v>
      </c>
      <c r="I37" s="36">
        <f t="shared" si="1"/>
        <v>0</v>
      </c>
    </row>
    <row r="38" spans="1:9" x14ac:dyDescent="0.25">
      <c r="A38" s="137" t="s">
        <v>76</v>
      </c>
      <c r="B38" s="138"/>
      <c r="C38" s="138"/>
      <c r="D38" s="138"/>
      <c r="E38" s="139"/>
      <c r="F38" s="36">
        <f>SUM('Stavební rozpočet'!BP12:BP246)</f>
        <v>0</v>
      </c>
      <c r="G38" s="37" t="s">
        <v>20</v>
      </c>
      <c r="H38" s="37" t="s">
        <v>20</v>
      </c>
      <c r="I38" s="36">
        <f t="shared" si="1"/>
        <v>0</v>
      </c>
    </row>
    <row r="39" spans="1:9" x14ac:dyDescent="0.25">
      <c r="A39" s="137" t="s">
        <v>135</v>
      </c>
      <c r="B39" s="138"/>
      <c r="C39" s="138"/>
      <c r="D39" s="138"/>
      <c r="E39" s="139"/>
      <c r="F39" s="36">
        <f>SUM('Stavební rozpočet'!BQ12:BQ246)</f>
        <v>0</v>
      </c>
      <c r="G39" s="37" t="s">
        <v>20</v>
      </c>
      <c r="H39" s="37" t="s">
        <v>20</v>
      </c>
      <c r="I39" s="36">
        <f t="shared" si="1"/>
        <v>0</v>
      </c>
    </row>
    <row r="40" spans="1:9" x14ac:dyDescent="0.25">
      <c r="A40" s="137" t="s">
        <v>100</v>
      </c>
      <c r="B40" s="138"/>
      <c r="C40" s="138"/>
      <c r="D40" s="138"/>
      <c r="E40" s="139"/>
      <c r="F40" s="36">
        <f>SUM('Stavební rozpočet'!BR12:BR246)</f>
        <v>0</v>
      </c>
      <c r="G40" s="37" t="s">
        <v>20</v>
      </c>
      <c r="H40" s="37" t="s">
        <v>20</v>
      </c>
      <c r="I40" s="36">
        <f t="shared" si="1"/>
        <v>0</v>
      </c>
    </row>
    <row r="41" spans="1:9" x14ac:dyDescent="0.25">
      <c r="A41" s="137" t="s">
        <v>101</v>
      </c>
      <c r="B41" s="138"/>
      <c r="C41" s="138"/>
      <c r="D41" s="138"/>
      <c r="E41" s="139"/>
      <c r="F41" s="36">
        <f>SUM('Stavební rozpočet'!BS12:BS246)</f>
        <v>0</v>
      </c>
      <c r="G41" s="37" t="s">
        <v>20</v>
      </c>
      <c r="H41" s="37" t="s">
        <v>20</v>
      </c>
      <c r="I41" s="36">
        <f t="shared" si="1"/>
        <v>0</v>
      </c>
    </row>
    <row r="42" spans="1:9" x14ac:dyDescent="0.25">
      <c r="A42" s="137" t="s">
        <v>136</v>
      </c>
      <c r="B42" s="138"/>
      <c r="C42" s="138"/>
      <c r="D42" s="138"/>
      <c r="E42" s="139"/>
      <c r="F42" s="36">
        <f>SUM('Stavební rozpočet'!BT12:BT246)</f>
        <v>0</v>
      </c>
      <c r="G42" s="37" t="s">
        <v>20</v>
      </c>
      <c r="H42" s="37" t="s">
        <v>20</v>
      </c>
      <c r="I42" s="36">
        <f t="shared" si="1"/>
        <v>0</v>
      </c>
    </row>
    <row r="43" spans="1:9" x14ac:dyDescent="0.25">
      <c r="A43" s="137" t="s">
        <v>137</v>
      </c>
      <c r="B43" s="138"/>
      <c r="C43" s="138"/>
      <c r="D43" s="138"/>
      <c r="E43" s="139"/>
      <c r="F43" s="36">
        <f>SUM('Stavební rozpočet'!BU12:BU246)</f>
        <v>0</v>
      </c>
      <c r="G43" s="37" t="s">
        <v>20</v>
      </c>
      <c r="H43" s="37" t="s">
        <v>20</v>
      </c>
      <c r="I43" s="36">
        <f t="shared" si="1"/>
        <v>0</v>
      </c>
    </row>
    <row r="44" spans="1:9" x14ac:dyDescent="0.25">
      <c r="A44" s="140" t="s">
        <v>138</v>
      </c>
      <c r="B44" s="141"/>
      <c r="C44" s="141"/>
      <c r="D44" s="141"/>
      <c r="E44" s="142"/>
      <c r="F44" s="38">
        <f>SUM('Stavební rozpočet'!BV12:BV246)</f>
        <v>0</v>
      </c>
      <c r="G44" s="39" t="s">
        <v>20</v>
      </c>
      <c r="H44" s="39" t="s">
        <v>20</v>
      </c>
      <c r="I44" s="38">
        <f t="shared" si="1"/>
        <v>0</v>
      </c>
    </row>
    <row r="45" spans="1:9" x14ac:dyDescent="0.25">
      <c r="A45" s="143" t="s">
        <v>139</v>
      </c>
      <c r="B45" s="144"/>
      <c r="C45" s="144"/>
      <c r="D45" s="144"/>
      <c r="E45" s="145"/>
      <c r="F45" s="40" t="s">
        <v>20</v>
      </c>
      <c r="G45" s="41" t="s">
        <v>20</v>
      </c>
      <c r="H45" s="41" t="s">
        <v>20</v>
      </c>
      <c r="I45" s="42">
        <f>SUM(I35:I44)</f>
        <v>0</v>
      </c>
    </row>
  </sheetData>
  <sheetProtection password="C665" sheet="1"/>
  <mergeCells count="60">
    <mergeCell ref="A41:E41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A10:B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fitToHeight="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Z249"/>
  <sheetViews>
    <sheetView workbookViewId="0">
      <pane ySplit="11" topLeftCell="A12" activePane="bottomLeft" state="frozen"/>
      <selection pane="bottomLeft" activeCell="H8" sqref="H8:H9"/>
    </sheetView>
  </sheetViews>
  <sheetFormatPr defaultColWidth="12.140625" defaultRowHeight="15" customHeight="1" x14ac:dyDescent="0.25"/>
  <cols>
    <col min="1" max="1" width="3.140625" customWidth="1"/>
    <col min="2" max="2" width="8.140625" customWidth="1"/>
    <col min="3" max="3" width="17.85546875" customWidth="1"/>
    <col min="4" max="4" width="42.85546875" customWidth="1"/>
    <col min="5" max="5" width="35.7109375" customWidth="1"/>
    <col min="6" max="6" width="7.42578125" customWidth="1"/>
    <col min="7" max="7" width="12.85546875" customWidth="1"/>
    <col min="8" max="8" width="12" customWidth="1"/>
    <col min="9" max="9" width="15.710937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70" t="s">
        <v>140</v>
      </c>
      <c r="B1" s="70"/>
      <c r="C1" s="70"/>
      <c r="D1" s="70"/>
      <c r="E1" s="70"/>
      <c r="F1" s="70"/>
      <c r="G1" s="70"/>
      <c r="H1" s="70"/>
      <c r="I1" s="70"/>
      <c r="J1" s="70"/>
      <c r="K1" s="70"/>
      <c r="AS1" s="43">
        <f>SUM(AJ1:AJ2)</f>
        <v>0</v>
      </c>
      <c r="AT1" s="43">
        <f>SUM(AK1:AK2)</f>
        <v>0</v>
      </c>
      <c r="AU1" s="43">
        <f>SUM(AL1:AL2)</f>
        <v>0</v>
      </c>
    </row>
    <row r="2" spans="1:76" x14ac:dyDescent="0.25">
      <c r="A2" s="71" t="s">
        <v>1</v>
      </c>
      <c r="B2" s="72"/>
      <c r="C2" s="72"/>
      <c r="D2" s="78" t="s">
        <v>141</v>
      </c>
      <c r="E2" s="79"/>
      <c r="F2" s="72" t="s">
        <v>2</v>
      </c>
      <c r="G2" s="72"/>
      <c r="H2" s="152" t="s">
        <v>13</v>
      </c>
      <c r="I2" s="82" t="s">
        <v>3</v>
      </c>
      <c r="J2" s="82" t="s">
        <v>142</v>
      </c>
      <c r="K2" s="83"/>
    </row>
    <row r="3" spans="1:76" x14ac:dyDescent="0.25">
      <c r="A3" s="73"/>
      <c r="B3" s="74"/>
      <c r="C3" s="74"/>
      <c r="D3" s="80"/>
      <c r="E3" s="80"/>
      <c r="F3" s="74"/>
      <c r="G3" s="74"/>
      <c r="H3" s="153"/>
      <c r="I3" s="74"/>
      <c r="J3" s="74"/>
      <c r="K3" s="84"/>
    </row>
    <row r="4" spans="1:76" x14ac:dyDescent="0.25">
      <c r="A4" s="75" t="s">
        <v>4</v>
      </c>
      <c r="B4" s="74"/>
      <c r="C4" s="74"/>
      <c r="D4" s="81" t="s">
        <v>13</v>
      </c>
      <c r="E4" s="74"/>
      <c r="F4" s="74" t="s">
        <v>5</v>
      </c>
      <c r="G4" s="74"/>
      <c r="H4" s="153" t="s">
        <v>13</v>
      </c>
      <c r="I4" s="81" t="s">
        <v>6</v>
      </c>
      <c r="J4" s="81" t="s">
        <v>143</v>
      </c>
      <c r="K4" s="84"/>
    </row>
    <row r="5" spans="1:76" x14ac:dyDescent="0.25">
      <c r="A5" s="73"/>
      <c r="B5" s="74"/>
      <c r="C5" s="74"/>
      <c r="D5" s="74"/>
      <c r="E5" s="74"/>
      <c r="F5" s="74"/>
      <c r="G5" s="74"/>
      <c r="H5" s="153"/>
      <c r="I5" s="74"/>
      <c r="J5" s="74"/>
      <c r="K5" s="84"/>
    </row>
    <row r="6" spans="1:76" x14ac:dyDescent="0.25">
      <c r="A6" s="75" t="s">
        <v>7</v>
      </c>
      <c r="B6" s="74"/>
      <c r="C6" s="74"/>
      <c r="D6" s="81" t="s">
        <v>144</v>
      </c>
      <c r="E6" s="74"/>
      <c r="F6" s="74" t="s">
        <v>8</v>
      </c>
      <c r="G6" s="74"/>
      <c r="H6" s="153" t="s">
        <v>13</v>
      </c>
      <c r="I6" s="81" t="s">
        <v>9</v>
      </c>
      <c r="J6" s="153" t="s">
        <v>145</v>
      </c>
      <c r="K6" s="155"/>
    </row>
    <row r="7" spans="1:76" x14ac:dyDescent="0.25">
      <c r="A7" s="73"/>
      <c r="B7" s="74"/>
      <c r="C7" s="74"/>
      <c r="D7" s="74"/>
      <c r="E7" s="74"/>
      <c r="F7" s="74"/>
      <c r="G7" s="74"/>
      <c r="H7" s="153"/>
      <c r="I7" s="74"/>
      <c r="J7" s="153"/>
      <c r="K7" s="155"/>
    </row>
    <row r="8" spans="1:76" x14ac:dyDescent="0.25">
      <c r="A8" s="75" t="s">
        <v>10</v>
      </c>
      <c r="B8" s="74"/>
      <c r="C8" s="74"/>
      <c r="D8" s="81" t="s">
        <v>13</v>
      </c>
      <c r="E8" s="74"/>
      <c r="F8" s="74" t="s">
        <v>11</v>
      </c>
      <c r="G8" s="74"/>
      <c r="H8" s="153" t="s">
        <v>146</v>
      </c>
      <c r="I8" s="81" t="s">
        <v>12</v>
      </c>
      <c r="J8" s="153" t="s">
        <v>145</v>
      </c>
      <c r="K8" s="155"/>
    </row>
    <row r="9" spans="1:76" x14ac:dyDescent="0.25">
      <c r="A9" s="76"/>
      <c r="B9" s="77"/>
      <c r="C9" s="77"/>
      <c r="D9" s="77"/>
      <c r="E9" s="77"/>
      <c r="F9" s="77"/>
      <c r="G9" s="77"/>
      <c r="H9" s="154"/>
      <c r="I9" s="77"/>
      <c r="J9" s="156"/>
      <c r="K9" s="157"/>
    </row>
    <row r="10" spans="1:76" x14ac:dyDescent="0.25">
      <c r="A10" s="44" t="s">
        <v>147</v>
      </c>
      <c r="B10" s="45" t="s">
        <v>15</v>
      </c>
      <c r="C10" s="45" t="s">
        <v>16</v>
      </c>
      <c r="D10" s="158" t="s">
        <v>17</v>
      </c>
      <c r="E10" s="159"/>
      <c r="F10" s="45" t="s">
        <v>148</v>
      </c>
      <c r="G10" s="46" t="s">
        <v>149</v>
      </c>
      <c r="H10" s="47" t="s">
        <v>150</v>
      </c>
      <c r="I10" s="6" t="s">
        <v>14</v>
      </c>
      <c r="K10" s="48"/>
      <c r="BK10" s="49" t="s">
        <v>151</v>
      </c>
      <c r="BL10" s="50" t="s">
        <v>152</v>
      </c>
      <c r="BW10" s="50" t="s">
        <v>153</v>
      </c>
    </row>
    <row r="11" spans="1:76" x14ac:dyDescent="0.25">
      <c r="A11" s="51" t="s">
        <v>13</v>
      </c>
      <c r="B11" s="52" t="s">
        <v>13</v>
      </c>
      <c r="C11" s="52" t="s">
        <v>13</v>
      </c>
      <c r="D11" s="89" t="s">
        <v>154</v>
      </c>
      <c r="E11" s="91"/>
      <c r="F11" s="52" t="s">
        <v>13</v>
      </c>
      <c r="G11" s="52" t="s">
        <v>13</v>
      </c>
      <c r="H11" s="53" t="s">
        <v>155</v>
      </c>
      <c r="I11" s="9" t="s">
        <v>18</v>
      </c>
      <c r="K11" s="54"/>
      <c r="Z11" s="49" t="s">
        <v>156</v>
      </c>
      <c r="AA11" s="49" t="s">
        <v>157</v>
      </c>
      <c r="AB11" s="49" t="s">
        <v>158</v>
      </c>
      <c r="AC11" s="49" t="s">
        <v>159</v>
      </c>
      <c r="AD11" s="49" t="s">
        <v>160</v>
      </c>
      <c r="AE11" s="49" t="s">
        <v>161</v>
      </c>
      <c r="AF11" s="49" t="s">
        <v>162</v>
      </c>
      <c r="AG11" s="49" t="s">
        <v>163</v>
      </c>
      <c r="AH11" s="49" t="s">
        <v>164</v>
      </c>
      <c r="BH11" s="49" t="s">
        <v>165</v>
      </c>
      <c r="BI11" s="49" t="s">
        <v>166</v>
      </c>
      <c r="BJ11" s="49" t="s">
        <v>167</v>
      </c>
    </row>
    <row r="12" spans="1:76" x14ac:dyDescent="0.25">
      <c r="A12" s="55" t="s">
        <v>20</v>
      </c>
      <c r="B12" s="56" t="s">
        <v>19</v>
      </c>
      <c r="C12" s="56" t="s">
        <v>20</v>
      </c>
      <c r="D12" s="160" t="s">
        <v>21</v>
      </c>
      <c r="E12" s="161"/>
      <c r="F12" s="57" t="s">
        <v>13</v>
      </c>
      <c r="G12" s="57" t="s">
        <v>13</v>
      </c>
      <c r="H12" s="58" t="s">
        <v>13</v>
      </c>
      <c r="I12" s="59">
        <f>I13+I19+I23+I28+I33+I42+I44+I49+I58+I60</f>
        <v>0</v>
      </c>
      <c r="K12" s="54"/>
    </row>
    <row r="13" spans="1:76" x14ac:dyDescent="0.25">
      <c r="A13" s="60" t="s">
        <v>20</v>
      </c>
      <c r="B13" s="61" t="s">
        <v>19</v>
      </c>
      <c r="C13" s="61" t="s">
        <v>23</v>
      </c>
      <c r="D13" s="162" t="s">
        <v>24</v>
      </c>
      <c r="E13" s="163"/>
      <c r="F13" s="62" t="s">
        <v>13</v>
      </c>
      <c r="G13" s="62" t="s">
        <v>13</v>
      </c>
      <c r="H13" s="63" t="s">
        <v>13</v>
      </c>
      <c r="I13" s="43">
        <f>SUM(I14:I18)</f>
        <v>0</v>
      </c>
      <c r="K13" s="54"/>
      <c r="AI13" s="49" t="s">
        <v>19</v>
      </c>
      <c r="AS13" s="43">
        <f>SUM(AJ14:AJ18)</f>
        <v>0</v>
      </c>
      <c r="AT13" s="43">
        <f>SUM(AK14:AK18)</f>
        <v>0</v>
      </c>
      <c r="AU13" s="43">
        <f>SUM(AL14:AL18)</f>
        <v>0</v>
      </c>
    </row>
    <row r="14" spans="1:76" x14ac:dyDescent="0.25">
      <c r="A14" s="1" t="s">
        <v>168</v>
      </c>
      <c r="B14" s="2" t="s">
        <v>19</v>
      </c>
      <c r="C14" s="2" t="s">
        <v>169</v>
      </c>
      <c r="D14" s="81" t="s">
        <v>170</v>
      </c>
      <c r="E14" s="74"/>
      <c r="F14" s="2" t="s">
        <v>171</v>
      </c>
      <c r="G14" s="14">
        <v>4</v>
      </c>
      <c r="H14" s="64">
        <v>0</v>
      </c>
      <c r="I14" s="14">
        <f>G14*H14</f>
        <v>0</v>
      </c>
      <c r="K14" s="54"/>
      <c r="Z14" s="14">
        <f>IF(AQ14="5",BJ14,0)</f>
        <v>0</v>
      </c>
      <c r="AB14" s="14">
        <f>IF(AQ14="1",BH14,0)</f>
        <v>0</v>
      </c>
      <c r="AC14" s="14">
        <f>IF(AQ14="1",BI14,0)</f>
        <v>0</v>
      </c>
      <c r="AD14" s="14">
        <f>IF(AQ14="7",BH14,0)</f>
        <v>0</v>
      </c>
      <c r="AE14" s="14">
        <f>IF(AQ14="7",BI14,0)</f>
        <v>0</v>
      </c>
      <c r="AF14" s="14">
        <f>IF(AQ14="2",BH14,0)</f>
        <v>0</v>
      </c>
      <c r="AG14" s="14">
        <f>IF(AQ14="2",BI14,0)</f>
        <v>0</v>
      </c>
      <c r="AH14" s="14">
        <f>IF(AQ14="0",BJ14,0)</f>
        <v>0</v>
      </c>
      <c r="AI14" s="49" t="s">
        <v>19</v>
      </c>
      <c r="AJ14" s="14">
        <f>IF(AN14=0,I14,0)</f>
        <v>0</v>
      </c>
      <c r="AK14" s="14">
        <f>IF(AN14=12,I14,0)</f>
        <v>0</v>
      </c>
      <c r="AL14" s="14">
        <f>IF(AN14=21,I14,0)</f>
        <v>0</v>
      </c>
      <c r="AN14" s="14">
        <v>21</v>
      </c>
      <c r="AO14" s="14">
        <f>H14*0</f>
        <v>0</v>
      </c>
      <c r="AP14" s="14">
        <f>H14*(1-0)</f>
        <v>0</v>
      </c>
      <c r="AQ14" s="65" t="s">
        <v>168</v>
      </c>
      <c r="AV14" s="14">
        <f>AW14+AX14</f>
        <v>0</v>
      </c>
      <c r="AW14" s="14">
        <f>G14*AO14</f>
        <v>0</v>
      </c>
      <c r="AX14" s="14">
        <f>G14*AP14</f>
        <v>0</v>
      </c>
      <c r="AY14" s="65" t="s">
        <v>172</v>
      </c>
      <c r="AZ14" s="65" t="s">
        <v>173</v>
      </c>
      <c r="BA14" s="49" t="s">
        <v>174</v>
      </c>
      <c r="BC14" s="14">
        <f>AW14+AX14</f>
        <v>0</v>
      </c>
      <c r="BD14" s="14">
        <f>H14/(100-BE14)*100</f>
        <v>0</v>
      </c>
      <c r="BE14" s="14">
        <v>0</v>
      </c>
      <c r="BF14" s="14">
        <f>14</f>
        <v>14</v>
      </c>
      <c r="BH14" s="14">
        <f>G14*AO14</f>
        <v>0</v>
      </c>
      <c r="BI14" s="14">
        <f>G14*AP14</f>
        <v>0</v>
      </c>
      <c r="BJ14" s="14">
        <f>G14*H14</f>
        <v>0</v>
      </c>
      <c r="BK14" s="14"/>
      <c r="BL14" s="14">
        <v>11</v>
      </c>
      <c r="BW14" s="14">
        <v>21</v>
      </c>
      <c r="BX14" s="3" t="s">
        <v>170</v>
      </c>
    </row>
    <row r="15" spans="1:76" ht="25.5" x14ac:dyDescent="0.25">
      <c r="A15" s="1" t="s">
        <v>175</v>
      </c>
      <c r="B15" s="2" t="s">
        <v>19</v>
      </c>
      <c r="C15" s="2" t="s">
        <v>176</v>
      </c>
      <c r="D15" s="81" t="s">
        <v>177</v>
      </c>
      <c r="E15" s="74"/>
      <c r="F15" s="2" t="s">
        <v>171</v>
      </c>
      <c r="G15" s="14">
        <v>2</v>
      </c>
      <c r="H15" s="64">
        <v>0</v>
      </c>
      <c r="I15" s="14">
        <f>G15*H15</f>
        <v>0</v>
      </c>
      <c r="K15" s="54"/>
      <c r="Z15" s="14">
        <f>IF(AQ15="5",BJ15,0)</f>
        <v>0</v>
      </c>
      <c r="AB15" s="14">
        <f>IF(AQ15="1",BH15,0)</f>
        <v>0</v>
      </c>
      <c r="AC15" s="14">
        <f>IF(AQ15="1",BI15,0)</f>
        <v>0</v>
      </c>
      <c r="AD15" s="14">
        <f>IF(AQ15="7",BH15,0)</f>
        <v>0</v>
      </c>
      <c r="AE15" s="14">
        <f>IF(AQ15="7",BI15,0)</f>
        <v>0</v>
      </c>
      <c r="AF15" s="14">
        <f>IF(AQ15="2",BH15,0)</f>
        <v>0</v>
      </c>
      <c r="AG15" s="14">
        <f>IF(AQ15="2",BI15,0)</f>
        <v>0</v>
      </c>
      <c r="AH15" s="14">
        <f>IF(AQ15="0",BJ15,0)</f>
        <v>0</v>
      </c>
      <c r="AI15" s="49" t="s">
        <v>19</v>
      </c>
      <c r="AJ15" s="14">
        <f>IF(AN15=0,I15,0)</f>
        <v>0</v>
      </c>
      <c r="AK15" s="14">
        <f>IF(AN15=12,I15,0)</f>
        <v>0</v>
      </c>
      <c r="AL15" s="14">
        <f>IF(AN15=21,I15,0)</f>
        <v>0</v>
      </c>
      <c r="AN15" s="14">
        <v>21</v>
      </c>
      <c r="AO15" s="14">
        <f>H15*0</f>
        <v>0</v>
      </c>
      <c r="AP15" s="14">
        <f>H15*(1-0)</f>
        <v>0</v>
      </c>
      <c r="AQ15" s="65" t="s">
        <v>168</v>
      </c>
      <c r="AV15" s="14">
        <f>AW15+AX15</f>
        <v>0</v>
      </c>
      <c r="AW15" s="14">
        <f>G15*AO15</f>
        <v>0</v>
      </c>
      <c r="AX15" s="14">
        <f>G15*AP15</f>
        <v>0</v>
      </c>
      <c r="AY15" s="65" t="s">
        <v>172</v>
      </c>
      <c r="AZ15" s="65" t="s">
        <v>173</v>
      </c>
      <c r="BA15" s="49" t="s">
        <v>174</v>
      </c>
      <c r="BC15" s="14">
        <f>AW15+AX15</f>
        <v>0</v>
      </c>
      <c r="BD15" s="14">
        <f>H15/(100-BE15)*100</f>
        <v>0</v>
      </c>
      <c r="BE15" s="14">
        <v>0</v>
      </c>
      <c r="BF15" s="14">
        <f>15</f>
        <v>15</v>
      </c>
      <c r="BH15" s="14">
        <f>G15*AO15</f>
        <v>0</v>
      </c>
      <c r="BI15" s="14">
        <f>G15*AP15</f>
        <v>0</v>
      </c>
      <c r="BJ15" s="14">
        <f>G15*H15</f>
        <v>0</v>
      </c>
      <c r="BK15" s="14"/>
      <c r="BL15" s="14">
        <v>11</v>
      </c>
      <c r="BW15" s="14">
        <v>21</v>
      </c>
      <c r="BX15" s="3" t="s">
        <v>177</v>
      </c>
    </row>
    <row r="16" spans="1:76" ht="25.5" x14ac:dyDescent="0.25">
      <c r="A16" s="1" t="s">
        <v>178</v>
      </c>
      <c r="B16" s="2" t="s">
        <v>19</v>
      </c>
      <c r="C16" s="2" t="s">
        <v>179</v>
      </c>
      <c r="D16" s="81" t="s">
        <v>180</v>
      </c>
      <c r="E16" s="74"/>
      <c r="F16" s="2" t="s">
        <v>171</v>
      </c>
      <c r="G16" s="14">
        <v>2</v>
      </c>
      <c r="H16" s="64">
        <v>0</v>
      </c>
      <c r="I16" s="14">
        <f>G16*H16</f>
        <v>0</v>
      </c>
      <c r="K16" s="54"/>
      <c r="Z16" s="14">
        <f>IF(AQ16="5",BJ16,0)</f>
        <v>0</v>
      </c>
      <c r="AB16" s="14">
        <f>IF(AQ16="1",BH16,0)</f>
        <v>0</v>
      </c>
      <c r="AC16" s="14">
        <f>IF(AQ16="1",BI16,0)</f>
        <v>0</v>
      </c>
      <c r="AD16" s="14">
        <f>IF(AQ16="7",BH16,0)</f>
        <v>0</v>
      </c>
      <c r="AE16" s="14">
        <f>IF(AQ16="7",BI16,0)</f>
        <v>0</v>
      </c>
      <c r="AF16" s="14">
        <f>IF(AQ16="2",BH16,0)</f>
        <v>0</v>
      </c>
      <c r="AG16" s="14">
        <f>IF(AQ16="2",BI16,0)</f>
        <v>0</v>
      </c>
      <c r="AH16" s="14">
        <f>IF(AQ16="0",BJ16,0)</f>
        <v>0</v>
      </c>
      <c r="AI16" s="49" t="s">
        <v>19</v>
      </c>
      <c r="AJ16" s="14">
        <f>IF(AN16=0,I16,0)</f>
        <v>0</v>
      </c>
      <c r="AK16" s="14">
        <f>IF(AN16=12,I16,0)</f>
        <v>0</v>
      </c>
      <c r="AL16" s="14">
        <f>IF(AN16=21,I16,0)</f>
        <v>0</v>
      </c>
      <c r="AN16" s="14">
        <v>21</v>
      </c>
      <c r="AO16" s="14">
        <f>H16*0</f>
        <v>0</v>
      </c>
      <c r="AP16" s="14">
        <f>H16*(1-0)</f>
        <v>0</v>
      </c>
      <c r="AQ16" s="65" t="s">
        <v>168</v>
      </c>
      <c r="AV16" s="14">
        <f>AW16+AX16</f>
        <v>0</v>
      </c>
      <c r="AW16" s="14">
        <f>G16*AO16</f>
        <v>0</v>
      </c>
      <c r="AX16" s="14">
        <f>G16*AP16</f>
        <v>0</v>
      </c>
      <c r="AY16" s="65" t="s">
        <v>172</v>
      </c>
      <c r="AZ16" s="65" t="s">
        <v>173</v>
      </c>
      <c r="BA16" s="49" t="s">
        <v>174</v>
      </c>
      <c r="BC16" s="14">
        <f>AW16+AX16</f>
        <v>0</v>
      </c>
      <c r="BD16" s="14">
        <f>H16/(100-BE16)*100</f>
        <v>0</v>
      </c>
      <c r="BE16" s="14">
        <v>0</v>
      </c>
      <c r="BF16" s="14">
        <f>16</f>
        <v>16</v>
      </c>
      <c r="BH16" s="14">
        <f>G16*AO16</f>
        <v>0</v>
      </c>
      <c r="BI16" s="14">
        <f>G16*AP16</f>
        <v>0</v>
      </c>
      <c r="BJ16" s="14">
        <f>G16*H16</f>
        <v>0</v>
      </c>
      <c r="BK16" s="14"/>
      <c r="BL16" s="14">
        <v>11</v>
      </c>
      <c r="BW16" s="14">
        <v>21</v>
      </c>
      <c r="BX16" s="3" t="s">
        <v>180</v>
      </c>
    </row>
    <row r="17" spans="1:76" ht="25.5" x14ac:dyDescent="0.25">
      <c r="A17" s="1" t="s">
        <v>181</v>
      </c>
      <c r="B17" s="2" t="s">
        <v>19</v>
      </c>
      <c r="C17" s="2" t="s">
        <v>182</v>
      </c>
      <c r="D17" s="81" t="s">
        <v>183</v>
      </c>
      <c r="E17" s="74"/>
      <c r="F17" s="2" t="s">
        <v>171</v>
      </c>
      <c r="G17" s="14">
        <v>11</v>
      </c>
      <c r="H17" s="64">
        <v>0</v>
      </c>
      <c r="I17" s="14">
        <f>G17*H17</f>
        <v>0</v>
      </c>
      <c r="K17" s="54"/>
      <c r="Z17" s="14">
        <f>IF(AQ17="5",BJ17,0)</f>
        <v>0</v>
      </c>
      <c r="AB17" s="14">
        <f>IF(AQ17="1",BH17,0)</f>
        <v>0</v>
      </c>
      <c r="AC17" s="14">
        <f>IF(AQ17="1",BI17,0)</f>
        <v>0</v>
      </c>
      <c r="AD17" s="14">
        <f>IF(AQ17="7",BH17,0)</f>
        <v>0</v>
      </c>
      <c r="AE17" s="14">
        <f>IF(AQ17="7",BI17,0)</f>
        <v>0</v>
      </c>
      <c r="AF17" s="14">
        <f>IF(AQ17="2",BH17,0)</f>
        <v>0</v>
      </c>
      <c r="AG17" s="14">
        <f>IF(AQ17="2",BI17,0)</f>
        <v>0</v>
      </c>
      <c r="AH17" s="14">
        <f>IF(AQ17="0",BJ17,0)</f>
        <v>0</v>
      </c>
      <c r="AI17" s="49" t="s">
        <v>19</v>
      </c>
      <c r="AJ17" s="14">
        <f>IF(AN17=0,I17,0)</f>
        <v>0</v>
      </c>
      <c r="AK17" s="14">
        <f>IF(AN17=12,I17,0)</f>
        <v>0</v>
      </c>
      <c r="AL17" s="14">
        <f>IF(AN17=21,I17,0)</f>
        <v>0</v>
      </c>
      <c r="AN17" s="14">
        <v>21</v>
      </c>
      <c r="AO17" s="14">
        <f>H17*0</f>
        <v>0</v>
      </c>
      <c r="AP17" s="14">
        <f>H17*(1-0)</f>
        <v>0</v>
      </c>
      <c r="AQ17" s="65" t="s">
        <v>168</v>
      </c>
      <c r="AV17" s="14">
        <f>AW17+AX17</f>
        <v>0</v>
      </c>
      <c r="AW17" s="14">
        <f>G17*AO17</f>
        <v>0</v>
      </c>
      <c r="AX17" s="14">
        <f>G17*AP17</f>
        <v>0</v>
      </c>
      <c r="AY17" s="65" t="s">
        <v>172</v>
      </c>
      <c r="AZ17" s="65" t="s">
        <v>173</v>
      </c>
      <c r="BA17" s="49" t="s">
        <v>174</v>
      </c>
      <c r="BC17" s="14">
        <f>AW17+AX17</f>
        <v>0</v>
      </c>
      <c r="BD17" s="14">
        <f>H17/(100-BE17)*100</f>
        <v>0</v>
      </c>
      <c r="BE17" s="14">
        <v>0</v>
      </c>
      <c r="BF17" s="14">
        <f>17</f>
        <v>17</v>
      </c>
      <c r="BH17" s="14">
        <f>G17*AO17</f>
        <v>0</v>
      </c>
      <c r="BI17" s="14">
        <f>G17*AP17</f>
        <v>0</v>
      </c>
      <c r="BJ17" s="14">
        <f>G17*H17</f>
        <v>0</v>
      </c>
      <c r="BK17" s="14"/>
      <c r="BL17" s="14">
        <v>11</v>
      </c>
      <c r="BW17" s="14">
        <v>21</v>
      </c>
      <c r="BX17" s="3" t="s">
        <v>183</v>
      </c>
    </row>
    <row r="18" spans="1:76" ht="25.5" x14ac:dyDescent="0.25">
      <c r="A18" s="1" t="s">
        <v>184</v>
      </c>
      <c r="B18" s="2" t="s">
        <v>19</v>
      </c>
      <c r="C18" s="2" t="s">
        <v>185</v>
      </c>
      <c r="D18" s="81" t="s">
        <v>186</v>
      </c>
      <c r="E18" s="74"/>
      <c r="F18" s="2" t="s">
        <v>171</v>
      </c>
      <c r="G18" s="14">
        <v>11</v>
      </c>
      <c r="H18" s="64">
        <v>0</v>
      </c>
      <c r="I18" s="14">
        <f>G18*H18</f>
        <v>0</v>
      </c>
      <c r="K18" s="54"/>
      <c r="Z18" s="14">
        <f>IF(AQ18="5",BJ18,0)</f>
        <v>0</v>
      </c>
      <c r="AB18" s="14">
        <f>IF(AQ18="1",BH18,0)</f>
        <v>0</v>
      </c>
      <c r="AC18" s="14">
        <f>IF(AQ18="1",BI18,0)</f>
        <v>0</v>
      </c>
      <c r="AD18" s="14">
        <f>IF(AQ18="7",BH18,0)</f>
        <v>0</v>
      </c>
      <c r="AE18" s="14">
        <f>IF(AQ18="7",BI18,0)</f>
        <v>0</v>
      </c>
      <c r="AF18" s="14">
        <f>IF(AQ18="2",BH18,0)</f>
        <v>0</v>
      </c>
      <c r="AG18" s="14">
        <f>IF(AQ18="2",BI18,0)</f>
        <v>0</v>
      </c>
      <c r="AH18" s="14">
        <f>IF(AQ18="0",BJ18,0)</f>
        <v>0</v>
      </c>
      <c r="AI18" s="49" t="s">
        <v>19</v>
      </c>
      <c r="AJ18" s="14">
        <f>IF(AN18=0,I18,0)</f>
        <v>0</v>
      </c>
      <c r="AK18" s="14">
        <f>IF(AN18=12,I18,0)</f>
        <v>0</v>
      </c>
      <c r="AL18" s="14">
        <f>IF(AN18=21,I18,0)</f>
        <v>0</v>
      </c>
      <c r="AN18" s="14">
        <v>21</v>
      </c>
      <c r="AO18" s="14">
        <f>H18*0</f>
        <v>0</v>
      </c>
      <c r="AP18" s="14">
        <f>H18*(1-0)</f>
        <v>0</v>
      </c>
      <c r="AQ18" s="65" t="s">
        <v>168</v>
      </c>
      <c r="AV18" s="14">
        <f>AW18+AX18</f>
        <v>0</v>
      </c>
      <c r="AW18" s="14">
        <f>G18*AO18</f>
        <v>0</v>
      </c>
      <c r="AX18" s="14">
        <f>G18*AP18</f>
        <v>0</v>
      </c>
      <c r="AY18" s="65" t="s">
        <v>172</v>
      </c>
      <c r="AZ18" s="65" t="s">
        <v>173</v>
      </c>
      <c r="BA18" s="49" t="s">
        <v>174</v>
      </c>
      <c r="BC18" s="14">
        <f>AW18+AX18</f>
        <v>0</v>
      </c>
      <c r="BD18" s="14">
        <f>H18/(100-BE18)*100</f>
        <v>0</v>
      </c>
      <c r="BE18" s="14">
        <v>0</v>
      </c>
      <c r="BF18" s="14">
        <f>18</f>
        <v>18</v>
      </c>
      <c r="BH18" s="14">
        <f>G18*AO18</f>
        <v>0</v>
      </c>
      <c r="BI18" s="14">
        <f>G18*AP18</f>
        <v>0</v>
      </c>
      <c r="BJ18" s="14">
        <f>G18*H18</f>
        <v>0</v>
      </c>
      <c r="BK18" s="14"/>
      <c r="BL18" s="14">
        <v>11</v>
      </c>
      <c r="BW18" s="14">
        <v>21</v>
      </c>
      <c r="BX18" s="3" t="s">
        <v>186</v>
      </c>
    </row>
    <row r="19" spans="1:76" x14ac:dyDescent="0.25">
      <c r="A19" s="60" t="s">
        <v>20</v>
      </c>
      <c r="B19" s="61" t="s">
        <v>19</v>
      </c>
      <c r="C19" s="61" t="s">
        <v>26</v>
      </c>
      <c r="D19" s="162" t="s">
        <v>27</v>
      </c>
      <c r="E19" s="163"/>
      <c r="F19" s="62" t="s">
        <v>13</v>
      </c>
      <c r="G19" s="62" t="s">
        <v>13</v>
      </c>
      <c r="H19" s="63" t="s">
        <v>13</v>
      </c>
      <c r="I19" s="43">
        <f>SUM(I20:I22)</f>
        <v>0</v>
      </c>
      <c r="K19" s="54"/>
      <c r="AI19" s="49" t="s">
        <v>19</v>
      </c>
      <c r="AS19" s="43">
        <f>SUM(AJ20:AJ22)</f>
        <v>0</v>
      </c>
      <c r="AT19" s="43">
        <f>SUM(AK20:AK22)</f>
        <v>0</v>
      </c>
      <c r="AU19" s="43">
        <f>SUM(AL20:AL22)</f>
        <v>0</v>
      </c>
    </row>
    <row r="20" spans="1:76" ht="25.5" x14ac:dyDescent="0.25">
      <c r="A20" s="1" t="s">
        <v>187</v>
      </c>
      <c r="B20" s="2" t="s">
        <v>19</v>
      </c>
      <c r="C20" s="2" t="s">
        <v>188</v>
      </c>
      <c r="D20" s="81" t="s">
        <v>189</v>
      </c>
      <c r="E20" s="74"/>
      <c r="F20" s="2" t="s">
        <v>190</v>
      </c>
      <c r="G20" s="14">
        <v>0.28000000000000003</v>
      </c>
      <c r="H20" s="64">
        <v>0</v>
      </c>
      <c r="I20" s="14">
        <f>G20*H20</f>
        <v>0</v>
      </c>
      <c r="K20" s="54"/>
      <c r="Z20" s="14">
        <f>IF(AQ20="5",BJ20,0)</f>
        <v>0</v>
      </c>
      <c r="AB20" s="14">
        <f>IF(AQ20="1",BH20,0)</f>
        <v>0</v>
      </c>
      <c r="AC20" s="14">
        <f>IF(AQ20="1",BI20,0)</f>
        <v>0</v>
      </c>
      <c r="AD20" s="14">
        <f>IF(AQ20="7",BH20,0)</f>
        <v>0</v>
      </c>
      <c r="AE20" s="14">
        <f>IF(AQ20="7",BI20,0)</f>
        <v>0</v>
      </c>
      <c r="AF20" s="14">
        <f>IF(AQ20="2",BH20,0)</f>
        <v>0</v>
      </c>
      <c r="AG20" s="14">
        <f>IF(AQ20="2",BI20,0)</f>
        <v>0</v>
      </c>
      <c r="AH20" s="14">
        <f>IF(AQ20="0",BJ20,0)</f>
        <v>0</v>
      </c>
      <c r="AI20" s="49" t="s">
        <v>19</v>
      </c>
      <c r="AJ20" s="14">
        <f>IF(AN20=0,I20,0)</f>
        <v>0</v>
      </c>
      <c r="AK20" s="14">
        <f>IF(AN20=12,I20,0)</f>
        <v>0</v>
      </c>
      <c r="AL20" s="14">
        <f>IF(AN20=21,I20,0)</f>
        <v>0</v>
      </c>
      <c r="AN20" s="14">
        <v>21</v>
      </c>
      <c r="AO20" s="14">
        <f>H20*0</f>
        <v>0</v>
      </c>
      <c r="AP20" s="14">
        <f>H20*(1-0)</f>
        <v>0</v>
      </c>
      <c r="AQ20" s="65" t="s">
        <v>168</v>
      </c>
      <c r="AV20" s="14">
        <f>AW20+AX20</f>
        <v>0</v>
      </c>
      <c r="AW20" s="14">
        <f>G20*AO20</f>
        <v>0</v>
      </c>
      <c r="AX20" s="14">
        <f>G20*AP20</f>
        <v>0</v>
      </c>
      <c r="AY20" s="65" t="s">
        <v>191</v>
      </c>
      <c r="AZ20" s="65" t="s">
        <v>173</v>
      </c>
      <c r="BA20" s="49" t="s">
        <v>174</v>
      </c>
      <c r="BC20" s="14">
        <f>AW20+AX20</f>
        <v>0</v>
      </c>
      <c r="BD20" s="14">
        <f>H20/(100-BE20)*100</f>
        <v>0</v>
      </c>
      <c r="BE20" s="14">
        <v>0</v>
      </c>
      <c r="BF20" s="14">
        <f>20</f>
        <v>20</v>
      </c>
      <c r="BH20" s="14">
        <f>G20*AO20</f>
        <v>0</v>
      </c>
      <c r="BI20" s="14">
        <f>G20*AP20</f>
        <v>0</v>
      </c>
      <c r="BJ20" s="14">
        <f>G20*H20</f>
        <v>0</v>
      </c>
      <c r="BK20" s="14"/>
      <c r="BL20" s="14">
        <v>12</v>
      </c>
      <c r="BW20" s="14">
        <v>21</v>
      </c>
      <c r="BX20" s="3" t="s">
        <v>189</v>
      </c>
    </row>
    <row r="21" spans="1:76" x14ac:dyDescent="0.25">
      <c r="A21" s="1" t="s">
        <v>192</v>
      </c>
      <c r="B21" s="2" t="s">
        <v>19</v>
      </c>
      <c r="C21" s="2" t="s">
        <v>193</v>
      </c>
      <c r="D21" s="81" t="s">
        <v>194</v>
      </c>
      <c r="E21" s="74"/>
      <c r="F21" s="2" t="s">
        <v>171</v>
      </c>
      <c r="G21" s="14">
        <v>6</v>
      </c>
      <c r="H21" s="64">
        <v>0</v>
      </c>
      <c r="I21" s="14">
        <f>G21*H21</f>
        <v>0</v>
      </c>
      <c r="K21" s="54"/>
      <c r="Z21" s="14">
        <f>IF(AQ21="5",BJ21,0)</f>
        <v>0</v>
      </c>
      <c r="AB21" s="14">
        <f>IF(AQ21="1",BH21,0)</f>
        <v>0</v>
      </c>
      <c r="AC21" s="14">
        <f>IF(AQ21="1",BI21,0)</f>
        <v>0</v>
      </c>
      <c r="AD21" s="14">
        <f>IF(AQ21="7",BH21,0)</f>
        <v>0</v>
      </c>
      <c r="AE21" s="14">
        <f>IF(AQ21="7",BI21,0)</f>
        <v>0</v>
      </c>
      <c r="AF21" s="14">
        <f>IF(AQ21="2",BH21,0)</f>
        <v>0</v>
      </c>
      <c r="AG21" s="14">
        <f>IF(AQ21="2",BI21,0)</f>
        <v>0</v>
      </c>
      <c r="AH21" s="14">
        <f>IF(AQ21="0",BJ21,0)</f>
        <v>0</v>
      </c>
      <c r="AI21" s="49" t="s">
        <v>19</v>
      </c>
      <c r="AJ21" s="14">
        <f>IF(AN21=0,I21,0)</f>
        <v>0</v>
      </c>
      <c r="AK21" s="14">
        <f>IF(AN21=12,I21,0)</f>
        <v>0</v>
      </c>
      <c r="AL21" s="14">
        <f>IF(AN21=21,I21,0)</f>
        <v>0</v>
      </c>
      <c r="AN21" s="14">
        <v>21</v>
      </c>
      <c r="AO21" s="14">
        <f>H21*0</f>
        <v>0</v>
      </c>
      <c r="AP21" s="14">
        <f>H21*(1-0)</f>
        <v>0</v>
      </c>
      <c r="AQ21" s="65" t="s">
        <v>168</v>
      </c>
      <c r="AV21" s="14">
        <f>AW21+AX21</f>
        <v>0</v>
      </c>
      <c r="AW21" s="14">
        <f>G21*AO21</f>
        <v>0</v>
      </c>
      <c r="AX21" s="14">
        <f>G21*AP21</f>
        <v>0</v>
      </c>
      <c r="AY21" s="65" t="s">
        <v>191</v>
      </c>
      <c r="AZ21" s="65" t="s">
        <v>173</v>
      </c>
      <c r="BA21" s="49" t="s">
        <v>174</v>
      </c>
      <c r="BC21" s="14">
        <f>AW21+AX21</f>
        <v>0</v>
      </c>
      <c r="BD21" s="14">
        <f>H21/(100-BE21)*100</f>
        <v>0</v>
      </c>
      <c r="BE21" s="14">
        <v>0</v>
      </c>
      <c r="BF21" s="14">
        <f>21</f>
        <v>21</v>
      </c>
      <c r="BH21" s="14">
        <f>G21*AO21</f>
        <v>0</v>
      </c>
      <c r="BI21" s="14">
        <f>G21*AP21</f>
        <v>0</v>
      </c>
      <c r="BJ21" s="14">
        <f>G21*H21</f>
        <v>0</v>
      </c>
      <c r="BK21" s="14"/>
      <c r="BL21" s="14">
        <v>12</v>
      </c>
      <c r="BW21" s="14">
        <v>21</v>
      </c>
      <c r="BX21" s="3" t="s">
        <v>194</v>
      </c>
    </row>
    <row r="22" spans="1:76" ht="25.5" x14ac:dyDescent="0.25">
      <c r="A22" s="1" t="s">
        <v>195</v>
      </c>
      <c r="B22" s="2" t="s">
        <v>19</v>
      </c>
      <c r="C22" s="2" t="s">
        <v>196</v>
      </c>
      <c r="D22" s="81" t="s">
        <v>197</v>
      </c>
      <c r="E22" s="74"/>
      <c r="F22" s="2" t="s">
        <v>190</v>
      </c>
      <c r="G22" s="14">
        <v>0.28000000000000003</v>
      </c>
      <c r="H22" s="64">
        <v>0</v>
      </c>
      <c r="I22" s="14">
        <f>G22*H22</f>
        <v>0</v>
      </c>
      <c r="K22" s="54"/>
      <c r="Z22" s="14">
        <f>IF(AQ22="5",BJ22,0)</f>
        <v>0</v>
      </c>
      <c r="AB22" s="14">
        <f>IF(AQ22="1",BH22,0)</f>
        <v>0</v>
      </c>
      <c r="AC22" s="14">
        <f>IF(AQ22="1",BI22,0)</f>
        <v>0</v>
      </c>
      <c r="AD22" s="14">
        <f>IF(AQ22="7",BH22,0)</f>
        <v>0</v>
      </c>
      <c r="AE22" s="14">
        <f>IF(AQ22="7",BI22,0)</f>
        <v>0</v>
      </c>
      <c r="AF22" s="14">
        <f>IF(AQ22="2",BH22,0)</f>
        <v>0</v>
      </c>
      <c r="AG22" s="14">
        <f>IF(AQ22="2",BI22,0)</f>
        <v>0</v>
      </c>
      <c r="AH22" s="14">
        <f>IF(AQ22="0",BJ22,0)</f>
        <v>0</v>
      </c>
      <c r="AI22" s="49" t="s">
        <v>19</v>
      </c>
      <c r="AJ22" s="14">
        <f>IF(AN22=0,I22,0)</f>
        <v>0</v>
      </c>
      <c r="AK22" s="14">
        <f>IF(AN22=12,I22,0)</f>
        <v>0</v>
      </c>
      <c r="AL22" s="14">
        <f>IF(AN22=21,I22,0)</f>
        <v>0</v>
      </c>
      <c r="AN22" s="14">
        <v>21</v>
      </c>
      <c r="AO22" s="14">
        <f>H22*0</f>
        <v>0</v>
      </c>
      <c r="AP22" s="14">
        <f>H22*(1-0)</f>
        <v>0</v>
      </c>
      <c r="AQ22" s="65" t="s">
        <v>168</v>
      </c>
      <c r="AV22" s="14">
        <f>AW22+AX22</f>
        <v>0</v>
      </c>
      <c r="AW22" s="14">
        <f>G22*AO22</f>
        <v>0</v>
      </c>
      <c r="AX22" s="14">
        <f>G22*AP22</f>
        <v>0</v>
      </c>
      <c r="AY22" s="65" t="s">
        <v>191</v>
      </c>
      <c r="AZ22" s="65" t="s">
        <v>173</v>
      </c>
      <c r="BA22" s="49" t="s">
        <v>174</v>
      </c>
      <c r="BC22" s="14">
        <f>AW22+AX22</f>
        <v>0</v>
      </c>
      <c r="BD22" s="14">
        <f>H22/(100-BE22)*100</f>
        <v>0</v>
      </c>
      <c r="BE22" s="14">
        <v>0</v>
      </c>
      <c r="BF22" s="14">
        <f>22</f>
        <v>22</v>
      </c>
      <c r="BH22" s="14">
        <f>G22*AO22</f>
        <v>0</v>
      </c>
      <c r="BI22" s="14">
        <f>G22*AP22</f>
        <v>0</v>
      </c>
      <c r="BJ22" s="14">
        <f>G22*H22</f>
        <v>0</v>
      </c>
      <c r="BK22" s="14"/>
      <c r="BL22" s="14">
        <v>12</v>
      </c>
      <c r="BW22" s="14">
        <v>21</v>
      </c>
      <c r="BX22" s="3" t="s">
        <v>197</v>
      </c>
    </row>
    <row r="23" spans="1:76" x14ac:dyDescent="0.25">
      <c r="A23" s="60" t="s">
        <v>20</v>
      </c>
      <c r="B23" s="61" t="s">
        <v>19</v>
      </c>
      <c r="C23" s="61" t="s">
        <v>28</v>
      </c>
      <c r="D23" s="162" t="s">
        <v>29</v>
      </c>
      <c r="E23" s="163"/>
      <c r="F23" s="62" t="s">
        <v>13</v>
      </c>
      <c r="G23" s="62" t="s">
        <v>13</v>
      </c>
      <c r="H23" s="63" t="s">
        <v>13</v>
      </c>
      <c r="I23" s="43">
        <f>SUM(I24:I27)</f>
        <v>0</v>
      </c>
      <c r="K23" s="54"/>
      <c r="AI23" s="49" t="s">
        <v>19</v>
      </c>
      <c r="AS23" s="43">
        <f>SUM(AJ24:AJ27)</f>
        <v>0</v>
      </c>
      <c r="AT23" s="43">
        <f>SUM(AK24:AK27)</f>
        <v>0</v>
      </c>
      <c r="AU23" s="43">
        <f>SUM(AL24:AL27)</f>
        <v>0</v>
      </c>
    </row>
    <row r="24" spans="1:76" ht="25.5" x14ac:dyDescent="0.25">
      <c r="A24" s="1" t="s">
        <v>198</v>
      </c>
      <c r="B24" s="2" t="s">
        <v>19</v>
      </c>
      <c r="C24" s="2" t="s">
        <v>199</v>
      </c>
      <c r="D24" s="81" t="s">
        <v>200</v>
      </c>
      <c r="E24" s="74"/>
      <c r="F24" s="2" t="s">
        <v>190</v>
      </c>
      <c r="G24" s="14">
        <v>0.28000000000000003</v>
      </c>
      <c r="H24" s="64">
        <v>0</v>
      </c>
      <c r="I24" s="14">
        <f>G24*H24</f>
        <v>0</v>
      </c>
      <c r="K24" s="54"/>
      <c r="Z24" s="14">
        <f>IF(AQ24="5",BJ24,0)</f>
        <v>0</v>
      </c>
      <c r="AB24" s="14">
        <f>IF(AQ24="1",BH24,0)</f>
        <v>0</v>
      </c>
      <c r="AC24" s="14">
        <f>IF(AQ24="1",BI24,0)</f>
        <v>0</v>
      </c>
      <c r="AD24" s="14">
        <f>IF(AQ24="7",BH24,0)</f>
        <v>0</v>
      </c>
      <c r="AE24" s="14">
        <f>IF(AQ24="7",BI24,0)</f>
        <v>0</v>
      </c>
      <c r="AF24" s="14">
        <f>IF(AQ24="2",BH24,0)</f>
        <v>0</v>
      </c>
      <c r="AG24" s="14">
        <f>IF(AQ24="2",BI24,0)</f>
        <v>0</v>
      </c>
      <c r="AH24" s="14">
        <f>IF(AQ24="0",BJ24,0)</f>
        <v>0</v>
      </c>
      <c r="AI24" s="49" t="s">
        <v>19</v>
      </c>
      <c r="AJ24" s="14">
        <f>IF(AN24=0,I24,0)</f>
        <v>0</v>
      </c>
      <c r="AK24" s="14">
        <f>IF(AN24=12,I24,0)</f>
        <v>0</v>
      </c>
      <c r="AL24" s="14">
        <f>IF(AN24=21,I24,0)</f>
        <v>0</v>
      </c>
      <c r="AN24" s="14">
        <v>21</v>
      </c>
      <c r="AO24" s="14">
        <f>H24*0</f>
        <v>0</v>
      </c>
      <c r="AP24" s="14">
        <f>H24*(1-0)</f>
        <v>0</v>
      </c>
      <c r="AQ24" s="65" t="s">
        <v>168</v>
      </c>
      <c r="AV24" s="14">
        <f>AW24+AX24</f>
        <v>0</v>
      </c>
      <c r="AW24" s="14">
        <f>G24*AO24</f>
        <v>0</v>
      </c>
      <c r="AX24" s="14">
        <f>G24*AP24</f>
        <v>0</v>
      </c>
      <c r="AY24" s="65" t="s">
        <v>201</v>
      </c>
      <c r="AZ24" s="65" t="s">
        <v>173</v>
      </c>
      <c r="BA24" s="49" t="s">
        <v>174</v>
      </c>
      <c r="BC24" s="14">
        <f>AW24+AX24</f>
        <v>0</v>
      </c>
      <c r="BD24" s="14">
        <f>H24/(100-BE24)*100</f>
        <v>0</v>
      </c>
      <c r="BE24" s="14">
        <v>0</v>
      </c>
      <c r="BF24" s="14">
        <f>24</f>
        <v>24</v>
      </c>
      <c r="BH24" s="14">
        <f>G24*AO24</f>
        <v>0</v>
      </c>
      <c r="BI24" s="14">
        <f>G24*AP24</f>
        <v>0</v>
      </c>
      <c r="BJ24" s="14">
        <f>G24*H24</f>
        <v>0</v>
      </c>
      <c r="BK24" s="14"/>
      <c r="BL24" s="14">
        <v>16</v>
      </c>
      <c r="BW24" s="14">
        <v>21</v>
      </c>
      <c r="BX24" s="3" t="s">
        <v>200</v>
      </c>
    </row>
    <row r="25" spans="1:76" ht="25.5" x14ac:dyDescent="0.25">
      <c r="A25" s="1" t="s">
        <v>202</v>
      </c>
      <c r="B25" s="2" t="s">
        <v>19</v>
      </c>
      <c r="C25" s="2" t="s">
        <v>203</v>
      </c>
      <c r="D25" s="81" t="s">
        <v>200</v>
      </c>
      <c r="E25" s="74"/>
      <c r="F25" s="2" t="s">
        <v>190</v>
      </c>
      <c r="G25" s="14">
        <v>1.1200000000000001</v>
      </c>
      <c r="H25" s="64">
        <v>0</v>
      </c>
      <c r="I25" s="14">
        <f>G25*H25</f>
        <v>0</v>
      </c>
      <c r="K25" s="54"/>
      <c r="Z25" s="14">
        <f>IF(AQ25="5",BJ25,0)</f>
        <v>0</v>
      </c>
      <c r="AB25" s="14">
        <f>IF(AQ25="1",BH25,0)</f>
        <v>0</v>
      </c>
      <c r="AC25" s="14">
        <f>IF(AQ25="1",BI25,0)</f>
        <v>0</v>
      </c>
      <c r="AD25" s="14">
        <f>IF(AQ25="7",BH25,0)</f>
        <v>0</v>
      </c>
      <c r="AE25" s="14">
        <f>IF(AQ25="7",BI25,0)</f>
        <v>0</v>
      </c>
      <c r="AF25" s="14">
        <f>IF(AQ25="2",BH25,0)</f>
        <v>0</v>
      </c>
      <c r="AG25" s="14">
        <f>IF(AQ25="2",BI25,0)</f>
        <v>0</v>
      </c>
      <c r="AH25" s="14">
        <f>IF(AQ25="0",BJ25,0)</f>
        <v>0</v>
      </c>
      <c r="AI25" s="49" t="s">
        <v>19</v>
      </c>
      <c r="AJ25" s="14">
        <f>IF(AN25=0,I25,0)</f>
        <v>0</v>
      </c>
      <c r="AK25" s="14">
        <f>IF(AN25=12,I25,0)</f>
        <v>0</v>
      </c>
      <c r="AL25" s="14">
        <f>IF(AN25=21,I25,0)</f>
        <v>0</v>
      </c>
      <c r="AN25" s="14">
        <v>21</v>
      </c>
      <c r="AO25" s="14">
        <f>H25*0</f>
        <v>0</v>
      </c>
      <c r="AP25" s="14">
        <f>H25*(1-0)</f>
        <v>0</v>
      </c>
      <c r="AQ25" s="65" t="s">
        <v>168</v>
      </c>
      <c r="AV25" s="14">
        <f>AW25+AX25</f>
        <v>0</v>
      </c>
      <c r="AW25" s="14">
        <f>G25*AO25</f>
        <v>0</v>
      </c>
      <c r="AX25" s="14">
        <f>G25*AP25</f>
        <v>0</v>
      </c>
      <c r="AY25" s="65" t="s">
        <v>201</v>
      </c>
      <c r="AZ25" s="65" t="s">
        <v>173</v>
      </c>
      <c r="BA25" s="49" t="s">
        <v>174</v>
      </c>
      <c r="BC25" s="14">
        <f>AW25+AX25</f>
        <v>0</v>
      </c>
      <c r="BD25" s="14">
        <f>H25/(100-BE25)*100</f>
        <v>0</v>
      </c>
      <c r="BE25" s="14">
        <v>0</v>
      </c>
      <c r="BF25" s="14">
        <f>25</f>
        <v>25</v>
      </c>
      <c r="BH25" s="14">
        <f>G25*AO25</f>
        <v>0</v>
      </c>
      <c r="BI25" s="14">
        <f>G25*AP25</f>
        <v>0</v>
      </c>
      <c r="BJ25" s="14">
        <f>G25*H25</f>
        <v>0</v>
      </c>
      <c r="BK25" s="14"/>
      <c r="BL25" s="14">
        <v>16</v>
      </c>
      <c r="BW25" s="14">
        <v>21</v>
      </c>
      <c r="BX25" s="3" t="s">
        <v>200</v>
      </c>
    </row>
    <row r="26" spans="1:76" ht="25.5" x14ac:dyDescent="0.25">
      <c r="A26" s="1" t="s">
        <v>23</v>
      </c>
      <c r="B26" s="2" t="s">
        <v>19</v>
      </c>
      <c r="C26" s="2" t="s">
        <v>204</v>
      </c>
      <c r="D26" s="81" t="s">
        <v>205</v>
      </c>
      <c r="E26" s="74"/>
      <c r="F26" s="2" t="s">
        <v>190</v>
      </c>
      <c r="G26" s="14">
        <v>0.28000000000000003</v>
      </c>
      <c r="H26" s="64">
        <v>0</v>
      </c>
      <c r="I26" s="14">
        <f>G26*H26</f>
        <v>0</v>
      </c>
      <c r="K26" s="54"/>
      <c r="Z26" s="14">
        <f>IF(AQ26="5",BJ26,0)</f>
        <v>0</v>
      </c>
      <c r="AB26" s="14">
        <f>IF(AQ26="1",BH26,0)</f>
        <v>0</v>
      </c>
      <c r="AC26" s="14">
        <f>IF(AQ26="1",BI26,0)</f>
        <v>0</v>
      </c>
      <c r="AD26" s="14">
        <f>IF(AQ26="7",BH26,0)</f>
        <v>0</v>
      </c>
      <c r="AE26" s="14">
        <f>IF(AQ26="7",BI26,0)</f>
        <v>0</v>
      </c>
      <c r="AF26" s="14">
        <f>IF(AQ26="2",BH26,0)</f>
        <v>0</v>
      </c>
      <c r="AG26" s="14">
        <f>IF(AQ26="2",BI26,0)</f>
        <v>0</v>
      </c>
      <c r="AH26" s="14">
        <f>IF(AQ26="0",BJ26,0)</f>
        <v>0</v>
      </c>
      <c r="AI26" s="49" t="s">
        <v>19</v>
      </c>
      <c r="AJ26" s="14">
        <f>IF(AN26=0,I26,0)</f>
        <v>0</v>
      </c>
      <c r="AK26" s="14">
        <f>IF(AN26=12,I26,0)</f>
        <v>0</v>
      </c>
      <c r="AL26" s="14">
        <f>IF(AN26=21,I26,0)</f>
        <v>0</v>
      </c>
      <c r="AN26" s="14">
        <v>21</v>
      </c>
      <c r="AO26" s="14">
        <f>H26*0</f>
        <v>0</v>
      </c>
      <c r="AP26" s="14">
        <f>H26*(1-0)</f>
        <v>0</v>
      </c>
      <c r="AQ26" s="65" t="s">
        <v>168</v>
      </c>
      <c r="AV26" s="14">
        <f>AW26+AX26</f>
        <v>0</v>
      </c>
      <c r="AW26" s="14">
        <f>G26*AO26</f>
        <v>0</v>
      </c>
      <c r="AX26" s="14">
        <f>G26*AP26</f>
        <v>0</v>
      </c>
      <c r="AY26" s="65" t="s">
        <v>201</v>
      </c>
      <c r="AZ26" s="65" t="s">
        <v>173</v>
      </c>
      <c r="BA26" s="49" t="s">
        <v>174</v>
      </c>
      <c r="BC26" s="14">
        <f>AW26+AX26</f>
        <v>0</v>
      </c>
      <c r="BD26" s="14">
        <f>H26/(100-BE26)*100</f>
        <v>0</v>
      </c>
      <c r="BE26" s="14">
        <v>0</v>
      </c>
      <c r="BF26" s="14">
        <f>26</f>
        <v>26</v>
      </c>
      <c r="BH26" s="14">
        <f>G26*AO26</f>
        <v>0</v>
      </c>
      <c r="BI26" s="14">
        <f>G26*AP26</f>
        <v>0</v>
      </c>
      <c r="BJ26" s="14">
        <f>G26*H26</f>
        <v>0</v>
      </c>
      <c r="BK26" s="14"/>
      <c r="BL26" s="14">
        <v>16</v>
      </c>
      <c r="BW26" s="14">
        <v>21</v>
      </c>
      <c r="BX26" s="3" t="s">
        <v>205</v>
      </c>
    </row>
    <row r="27" spans="1:76" ht="25.5" x14ac:dyDescent="0.25">
      <c r="A27" s="1" t="s">
        <v>26</v>
      </c>
      <c r="B27" s="2" t="s">
        <v>19</v>
      </c>
      <c r="C27" s="2" t="s">
        <v>206</v>
      </c>
      <c r="D27" s="81" t="s">
        <v>207</v>
      </c>
      <c r="E27" s="74"/>
      <c r="F27" s="2" t="s">
        <v>190</v>
      </c>
      <c r="G27" s="14">
        <v>0.28000000000000003</v>
      </c>
      <c r="H27" s="64">
        <v>0</v>
      </c>
      <c r="I27" s="14">
        <f>G27*H27</f>
        <v>0</v>
      </c>
      <c r="K27" s="54"/>
      <c r="Z27" s="14">
        <f>IF(AQ27="5",BJ27,0)</f>
        <v>0</v>
      </c>
      <c r="AB27" s="14">
        <f>IF(AQ27="1",BH27,0)</f>
        <v>0</v>
      </c>
      <c r="AC27" s="14">
        <f>IF(AQ27="1",BI27,0)</f>
        <v>0</v>
      </c>
      <c r="AD27" s="14">
        <f>IF(AQ27="7",BH27,0)</f>
        <v>0</v>
      </c>
      <c r="AE27" s="14">
        <f>IF(AQ27="7",BI27,0)</f>
        <v>0</v>
      </c>
      <c r="AF27" s="14">
        <f>IF(AQ27="2",BH27,0)</f>
        <v>0</v>
      </c>
      <c r="AG27" s="14">
        <f>IF(AQ27="2",BI27,0)</f>
        <v>0</v>
      </c>
      <c r="AH27" s="14">
        <f>IF(AQ27="0",BJ27,0)</f>
        <v>0</v>
      </c>
      <c r="AI27" s="49" t="s">
        <v>19</v>
      </c>
      <c r="AJ27" s="14">
        <f>IF(AN27=0,I27,0)</f>
        <v>0</v>
      </c>
      <c r="AK27" s="14">
        <f>IF(AN27=12,I27,0)</f>
        <v>0</v>
      </c>
      <c r="AL27" s="14">
        <f>IF(AN27=21,I27,0)</f>
        <v>0</v>
      </c>
      <c r="AN27" s="14">
        <v>21</v>
      </c>
      <c r="AO27" s="14">
        <f>H27*0</f>
        <v>0</v>
      </c>
      <c r="AP27" s="14">
        <f>H27*(1-0)</f>
        <v>0</v>
      </c>
      <c r="AQ27" s="65" t="s">
        <v>168</v>
      </c>
      <c r="AV27" s="14">
        <f>AW27+AX27</f>
        <v>0</v>
      </c>
      <c r="AW27" s="14">
        <f>G27*AO27</f>
        <v>0</v>
      </c>
      <c r="AX27" s="14">
        <f>G27*AP27</f>
        <v>0</v>
      </c>
      <c r="AY27" s="65" t="s">
        <v>201</v>
      </c>
      <c r="AZ27" s="65" t="s">
        <v>173</v>
      </c>
      <c r="BA27" s="49" t="s">
        <v>174</v>
      </c>
      <c r="BC27" s="14">
        <f>AW27+AX27</f>
        <v>0</v>
      </c>
      <c r="BD27" s="14">
        <f>H27/(100-BE27)*100</f>
        <v>0</v>
      </c>
      <c r="BE27" s="14">
        <v>0</v>
      </c>
      <c r="BF27" s="14">
        <f>27</f>
        <v>27</v>
      </c>
      <c r="BH27" s="14">
        <f>G27*AO27</f>
        <v>0</v>
      </c>
      <c r="BI27" s="14">
        <f>G27*AP27</f>
        <v>0</v>
      </c>
      <c r="BJ27" s="14">
        <f>G27*H27</f>
        <v>0</v>
      </c>
      <c r="BK27" s="14"/>
      <c r="BL27" s="14">
        <v>16</v>
      </c>
      <c r="BW27" s="14">
        <v>21</v>
      </c>
      <c r="BX27" s="3" t="s">
        <v>207</v>
      </c>
    </row>
    <row r="28" spans="1:76" x14ac:dyDescent="0.25">
      <c r="A28" s="60" t="s">
        <v>20</v>
      </c>
      <c r="B28" s="61" t="s">
        <v>19</v>
      </c>
      <c r="C28" s="61" t="s">
        <v>30</v>
      </c>
      <c r="D28" s="162" t="s">
        <v>31</v>
      </c>
      <c r="E28" s="163"/>
      <c r="F28" s="62" t="s">
        <v>13</v>
      </c>
      <c r="G28" s="62" t="s">
        <v>13</v>
      </c>
      <c r="H28" s="63" t="s">
        <v>13</v>
      </c>
      <c r="I28" s="43">
        <f>SUM(I29:I32)</f>
        <v>0</v>
      </c>
      <c r="K28" s="54"/>
      <c r="AI28" s="49" t="s">
        <v>19</v>
      </c>
      <c r="AS28" s="43">
        <f>SUM(AJ29:AJ32)</f>
        <v>0</v>
      </c>
      <c r="AT28" s="43">
        <f>SUM(AK29:AK32)</f>
        <v>0</v>
      </c>
      <c r="AU28" s="43">
        <f>SUM(AL29:AL32)</f>
        <v>0</v>
      </c>
    </row>
    <row r="29" spans="1:76" ht="25.5" x14ac:dyDescent="0.25">
      <c r="A29" s="1" t="s">
        <v>46</v>
      </c>
      <c r="B29" s="2" t="s">
        <v>19</v>
      </c>
      <c r="C29" s="2" t="s">
        <v>208</v>
      </c>
      <c r="D29" s="81" t="s">
        <v>209</v>
      </c>
      <c r="E29" s="74"/>
      <c r="F29" s="2" t="s">
        <v>190</v>
      </c>
      <c r="G29" s="14">
        <v>0.28000000000000003</v>
      </c>
      <c r="H29" s="64">
        <v>0</v>
      </c>
      <c r="I29" s="14">
        <f>G29*H29</f>
        <v>0</v>
      </c>
      <c r="K29" s="54"/>
      <c r="Z29" s="14">
        <f>IF(AQ29="5",BJ29,0)</f>
        <v>0</v>
      </c>
      <c r="AB29" s="14">
        <f>IF(AQ29="1",BH29,0)</f>
        <v>0</v>
      </c>
      <c r="AC29" s="14">
        <f>IF(AQ29="1",BI29,0)</f>
        <v>0</v>
      </c>
      <c r="AD29" s="14">
        <f>IF(AQ29="7",BH29,0)</f>
        <v>0</v>
      </c>
      <c r="AE29" s="14">
        <f>IF(AQ29="7",BI29,0)</f>
        <v>0</v>
      </c>
      <c r="AF29" s="14">
        <f>IF(AQ29="2",BH29,0)</f>
        <v>0</v>
      </c>
      <c r="AG29" s="14">
        <f>IF(AQ29="2",BI29,0)</f>
        <v>0</v>
      </c>
      <c r="AH29" s="14">
        <f>IF(AQ29="0",BJ29,0)</f>
        <v>0</v>
      </c>
      <c r="AI29" s="49" t="s">
        <v>19</v>
      </c>
      <c r="AJ29" s="14">
        <f>IF(AN29=0,I29,0)</f>
        <v>0</v>
      </c>
      <c r="AK29" s="14">
        <f>IF(AN29=12,I29,0)</f>
        <v>0</v>
      </c>
      <c r="AL29" s="14">
        <f>IF(AN29=21,I29,0)</f>
        <v>0</v>
      </c>
      <c r="AN29" s="14">
        <v>21</v>
      </c>
      <c r="AO29" s="14">
        <f>H29*0</f>
        <v>0</v>
      </c>
      <c r="AP29" s="14">
        <f>H29*(1-0)</f>
        <v>0</v>
      </c>
      <c r="AQ29" s="65" t="s">
        <v>168</v>
      </c>
      <c r="AV29" s="14">
        <f>AW29+AX29</f>
        <v>0</v>
      </c>
      <c r="AW29" s="14">
        <f>G29*AO29</f>
        <v>0</v>
      </c>
      <c r="AX29" s="14">
        <f>G29*AP29</f>
        <v>0</v>
      </c>
      <c r="AY29" s="65" t="s">
        <v>210</v>
      </c>
      <c r="AZ29" s="65" t="s">
        <v>173</v>
      </c>
      <c r="BA29" s="49" t="s">
        <v>174</v>
      </c>
      <c r="BC29" s="14">
        <f>AW29+AX29</f>
        <v>0</v>
      </c>
      <c r="BD29" s="14">
        <f>H29/(100-BE29)*100</f>
        <v>0</v>
      </c>
      <c r="BE29" s="14">
        <v>0</v>
      </c>
      <c r="BF29" s="14">
        <f>29</f>
        <v>29</v>
      </c>
      <c r="BH29" s="14">
        <f>G29*AO29</f>
        <v>0</v>
      </c>
      <c r="BI29" s="14">
        <f>G29*AP29</f>
        <v>0</v>
      </c>
      <c r="BJ29" s="14">
        <f>G29*H29</f>
        <v>0</v>
      </c>
      <c r="BK29" s="14"/>
      <c r="BL29" s="14">
        <v>17</v>
      </c>
      <c r="BW29" s="14">
        <v>21</v>
      </c>
      <c r="BX29" s="3" t="s">
        <v>209</v>
      </c>
    </row>
    <row r="30" spans="1:76" ht="25.5" x14ac:dyDescent="0.25">
      <c r="A30" s="1" t="s">
        <v>211</v>
      </c>
      <c r="B30" s="2" t="s">
        <v>19</v>
      </c>
      <c r="C30" s="2" t="s">
        <v>212</v>
      </c>
      <c r="D30" s="81" t="s">
        <v>213</v>
      </c>
      <c r="E30" s="74"/>
      <c r="F30" s="2" t="s">
        <v>190</v>
      </c>
      <c r="G30" s="14">
        <v>0.6</v>
      </c>
      <c r="H30" s="64">
        <v>0</v>
      </c>
      <c r="I30" s="14">
        <f>G30*H30</f>
        <v>0</v>
      </c>
      <c r="K30" s="54"/>
      <c r="Z30" s="14">
        <f>IF(AQ30="5",BJ30,0)</f>
        <v>0</v>
      </c>
      <c r="AB30" s="14">
        <f>IF(AQ30="1",BH30,0)</f>
        <v>0</v>
      </c>
      <c r="AC30" s="14">
        <f>IF(AQ30="1",BI30,0)</f>
        <v>0</v>
      </c>
      <c r="AD30" s="14">
        <f>IF(AQ30="7",BH30,0)</f>
        <v>0</v>
      </c>
      <c r="AE30" s="14">
        <f>IF(AQ30="7",BI30,0)</f>
        <v>0</v>
      </c>
      <c r="AF30" s="14">
        <f>IF(AQ30="2",BH30,0)</f>
        <v>0</v>
      </c>
      <c r="AG30" s="14">
        <f>IF(AQ30="2",BI30,0)</f>
        <v>0</v>
      </c>
      <c r="AH30" s="14">
        <f>IF(AQ30="0",BJ30,0)</f>
        <v>0</v>
      </c>
      <c r="AI30" s="49" t="s">
        <v>19</v>
      </c>
      <c r="AJ30" s="14">
        <f>IF(AN30=0,I30,0)</f>
        <v>0</v>
      </c>
      <c r="AK30" s="14">
        <f>IF(AN30=12,I30,0)</f>
        <v>0</v>
      </c>
      <c r="AL30" s="14">
        <f>IF(AN30=21,I30,0)</f>
        <v>0</v>
      </c>
      <c r="AN30" s="14">
        <v>21</v>
      </c>
      <c r="AO30" s="14">
        <f>H30*0</f>
        <v>0</v>
      </c>
      <c r="AP30" s="14">
        <f>H30*(1-0)</f>
        <v>0</v>
      </c>
      <c r="AQ30" s="65" t="s">
        <v>168</v>
      </c>
      <c r="AV30" s="14">
        <f>AW30+AX30</f>
        <v>0</v>
      </c>
      <c r="AW30" s="14">
        <f>G30*AO30</f>
        <v>0</v>
      </c>
      <c r="AX30" s="14">
        <f>G30*AP30</f>
        <v>0</v>
      </c>
      <c r="AY30" s="65" t="s">
        <v>210</v>
      </c>
      <c r="AZ30" s="65" t="s">
        <v>173</v>
      </c>
      <c r="BA30" s="49" t="s">
        <v>174</v>
      </c>
      <c r="BC30" s="14">
        <f>AW30+AX30</f>
        <v>0</v>
      </c>
      <c r="BD30" s="14">
        <f>H30/(100-BE30)*100</f>
        <v>0</v>
      </c>
      <c r="BE30" s="14">
        <v>0</v>
      </c>
      <c r="BF30" s="14">
        <f>30</f>
        <v>30</v>
      </c>
      <c r="BH30" s="14">
        <f>G30*AO30</f>
        <v>0</v>
      </c>
      <c r="BI30" s="14">
        <f>G30*AP30</f>
        <v>0</v>
      </c>
      <c r="BJ30" s="14">
        <f>G30*H30</f>
        <v>0</v>
      </c>
      <c r="BK30" s="14"/>
      <c r="BL30" s="14">
        <v>17</v>
      </c>
      <c r="BW30" s="14">
        <v>21</v>
      </c>
      <c r="BX30" s="3" t="s">
        <v>213</v>
      </c>
    </row>
    <row r="31" spans="1:76" x14ac:dyDescent="0.25">
      <c r="A31" s="1" t="s">
        <v>214</v>
      </c>
      <c r="B31" s="2" t="s">
        <v>19</v>
      </c>
      <c r="C31" s="2" t="s">
        <v>215</v>
      </c>
      <c r="D31" s="81" t="s">
        <v>216</v>
      </c>
      <c r="E31" s="74"/>
      <c r="F31" s="2" t="s">
        <v>217</v>
      </c>
      <c r="G31" s="14">
        <v>1.1399999999999999</v>
      </c>
      <c r="H31" s="64">
        <v>0</v>
      </c>
      <c r="I31" s="14">
        <f>G31*H31</f>
        <v>0</v>
      </c>
      <c r="K31" s="54"/>
      <c r="Z31" s="14">
        <f>IF(AQ31="5",BJ31,0)</f>
        <v>0</v>
      </c>
      <c r="AB31" s="14">
        <f>IF(AQ31="1",BH31,0)</f>
        <v>0</v>
      </c>
      <c r="AC31" s="14">
        <f>IF(AQ31="1",BI31,0)</f>
        <v>0</v>
      </c>
      <c r="AD31" s="14">
        <f>IF(AQ31="7",BH31,0)</f>
        <v>0</v>
      </c>
      <c r="AE31" s="14">
        <f>IF(AQ31="7",BI31,0)</f>
        <v>0</v>
      </c>
      <c r="AF31" s="14">
        <f>IF(AQ31="2",BH31,0)</f>
        <v>0</v>
      </c>
      <c r="AG31" s="14">
        <f>IF(AQ31="2",BI31,0)</f>
        <v>0</v>
      </c>
      <c r="AH31" s="14">
        <f>IF(AQ31="0",BJ31,0)</f>
        <v>0</v>
      </c>
      <c r="AI31" s="49" t="s">
        <v>19</v>
      </c>
      <c r="AJ31" s="14">
        <f>IF(AN31=0,I31,0)</f>
        <v>0</v>
      </c>
      <c r="AK31" s="14">
        <f>IF(AN31=12,I31,0)</f>
        <v>0</v>
      </c>
      <c r="AL31" s="14">
        <f>IF(AN31=21,I31,0)</f>
        <v>0</v>
      </c>
      <c r="AN31" s="14">
        <v>21</v>
      </c>
      <c r="AO31" s="14">
        <f>H31*0</f>
        <v>0</v>
      </c>
      <c r="AP31" s="14">
        <f>H31*(1-0)</f>
        <v>0</v>
      </c>
      <c r="AQ31" s="65" t="s">
        <v>168</v>
      </c>
      <c r="AV31" s="14">
        <f>AW31+AX31</f>
        <v>0</v>
      </c>
      <c r="AW31" s="14">
        <f>G31*AO31</f>
        <v>0</v>
      </c>
      <c r="AX31" s="14">
        <f>G31*AP31</f>
        <v>0</v>
      </c>
      <c r="AY31" s="65" t="s">
        <v>210</v>
      </c>
      <c r="AZ31" s="65" t="s">
        <v>173</v>
      </c>
      <c r="BA31" s="49" t="s">
        <v>174</v>
      </c>
      <c r="BC31" s="14">
        <f>AW31+AX31</f>
        <v>0</v>
      </c>
      <c r="BD31" s="14">
        <f>H31/(100-BE31)*100</f>
        <v>0</v>
      </c>
      <c r="BE31" s="14">
        <v>0</v>
      </c>
      <c r="BF31" s="14">
        <f>31</f>
        <v>31</v>
      </c>
      <c r="BH31" s="14">
        <f>G31*AO31</f>
        <v>0</v>
      </c>
      <c r="BI31" s="14">
        <f>G31*AP31</f>
        <v>0</v>
      </c>
      <c r="BJ31" s="14">
        <f>G31*H31</f>
        <v>0</v>
      </c>
      <c r="BK31" s="14"/>
      <c r="BL31" s="14">
        <v>17</v>
      </c>
      <c r="BW31" s="14">
        <v>21</v>
      </c>
      <c r="BX31" s="3" t="s">
        <v>216</v>
      </c>
    </row>
    <row r="32" spans="1:76" ht="25.5" x14ac:dyDescent="0.25">
      <c r="A32" s="1" t="s">
        <v>28</v>
      </c>
      <c r="B32" s="2" t="s">
        <v>19</v>
      </c>
      <c r="C32" s="2" t="s">
        <v>218</v>
      </c>
      <c r="D32" s="81" t="s">
        <v>219</v>
      </c>
      <c r="E32" s="74"/>
      <c r="F32" s="2" t="s">
        <v>217</v>
      </c>
      <c r="G32" s="14">
        <v>0.53200000000000003</v>
      </c>
      <c r="H32" s="64">
        <v>0</v>
      </c>
      <c r="I32" s="14">
        <f>G32*H32</f>
        <v>0</v>
      </c>
      <c r="K32" s="54"/>
      <c r="Z32" s="14">
        <f>IF(AQ32="5",BJ32,0)</f>
        <v>0</v>
      </c>
      <c r="AB32" s="14">
        <f>IF(AQ32="1",BH32,0)</f>
        <v>0</v>
      </c>
      <c r="AC32" s="14">
        <f>IF(AQ32="1",BI32,0)</f>
        <v>0</v>
      </c>
      <c r="AD32" s="14">
        <f>IF(AQ32="7",BH32,0)</f>
        <v>0</v>
      </c>
      <c r="AE32" s="14">
        <f>IF(AQ32="7",BI32,0)</f>
        <v>0</v>
      </c>
      <c r="AF32" s="14">
        <f>IF(AQ32="2",BH32,0)</f>
        <v>0</v>
      </c>
      <c r="AG32" s="14">
        <f>IF(AQ32="2",BI32,0)</f>
        <v>0</v>
      </c>
      <c r="AH32" s="14">
        <f>IF(AQ32="0",BJ32,0)</f>
        <v>0</v>
      </c>
      <c r="AI32" s="49" t="s">
        <v>19</v>
      </c>
      <c r="AJ32" s="14">
        <f>IF(AN32=0,I32,0)</f>
        <v>0</v>
      </c>
      <c r="AK32" s="14">
        <f>IF(AN32=12,I32,0)</f>
        <v>0</v>
      </c>
      <c r="AL32" s="14">
        <f>IF(AN32=21,I32,0)</f>
        <v>0</v>
      </c>
      <c r="AN32" s="14">
        <v>21</v>
      </c>
      <c r="AO32" s="14">
        <f>H32*0</f>
        <v>0</v>
      </c>
      <c r="AP32" s="14">
        <f>H32*(1-0)</f>
        <v>0</v>
      </c>
      <c r="AQ32" s="65" t="s">
        <v>168</v>
      </c>
      <c r="AV32" s="14">
        <f>AW32+AX32</f>
        <v>0</v>
      </c>
      <c r="AW32" s="14">
        <f>G32*AO32</f>
        <v>0</v>
      </c>
      <c r="AX32" s="14">
        <f>G32*AP32</f>
        <v>0</v>
      </c>
      <c r="AY32" s="65" t="s">
        <v>210</v>
      </c>
      <c r="AZ32" s="65" t="s">
        <v>173</v>
      </c>
      <c r="BA32" s="49" t="s">
        <v>174</v>
      </c>
      <c r="BC32" s="14">
        <f>AW32+AX32</f>
        <v>0</v>
      </c>
      <c r="BD32" s="14">
        <f>H32/(100-BE32)*100</f>
        <v>0</v>
      </c>
      <c r="BE32" s="14">
        <v>0</v>
      </c>
      <c r="BF32" s="14">
        <f>32</f>
        <v>32</v>
      </c>
      <c r="BH32" s="14">
        <f>G32*AO32</f>
        <v>0</v>
      </c>
      <c r="BI32" s="14">
        <f>G32*AP32</f>
        <v>0</v>
      </c>
      <c r="BJ32" s="14">
        <f>G32*H32</f>
        <v>0</v>
      </c>
      <c r="BK32" s="14"/>
      <c r="BL32" s="14">
        <v>17</v>
      </c>
      <c r="BW32" s="14">
        <v>21</v>
      </c>
      <c r="BX32" s="3" t="s">
        <v>219</v>
      </c>
    </row>
    <row r="33" spans="1:76" x14ac:dyDescent="0.25">
      <c r="A33" s="60" t="s">
        <v>20</v>
      </c>
      <c r="B33" s="61" t="s">
        <v>19</v>
      </c>
      <c r="C33" s="61" t="s">
        <v>32</v>
      </c>
      <c r="D33" s="162" t="s">
        <v>33</v>
      </c>
      <c r="E33" s="163"/>
      <c r="F33" s="62" t="s">
        <v>13</v>
      </c>
      <c r="G33" s="62" t="s">
        <v>13</v>
      </c>
      <c r="H33" s="63" t="s">
        <v>13</v>
      </c>
      <c r="I33" s="43">
        <f>SUM(I34:I41)</f>
        <v>0</v>
      </c>
      <c r="K33" s="54"/>
      <c r="AI33" s="49" t="s">
        <v>19</v>
      </c>
      <c r="AS33" s="43">
        <f>SUM(AJ34:AJ41)</f>
        <v>0</v>
      </c>
      <c r="AT33" s="43">
        <f>SUM(AK34:AK41)</f>
        <v>0</v>
      </c>
      <c r="AU33" s="43">
        <f>SUM(AL34:AL41)</f>
        <v>0</v>
      </c>
    </row>
    <row r="34" spans="1:76" ht="25.5" x14ac:dyDescent="0.25">
      <c r="A34" s="1" t="s">
        <v>30</v>
      </c>
      <c r="B34" s="2" t="s">
        <v>19</v>
      </c>
      <c r="C34" s="2" t="s">
        <v>220</v>
      </c>
      <c r="D34" s="81" t="s">
        <v>221</v>
      </c>
      <c r="E34" s="74"/>
      <c r="F34" s="2" t="s">
        <v>171</v>
      </c>
      <c r="G34" s="14">
        <v>6</v>
      </c>
      <c r="H34" s="64">
        <v>0</v>
      </c>
      <c r="I34" s="14">
        <f t="shared" ref="I34:I41" si="0">G34*H34</f>
        <v>0</v>
      </c>
      <c r="K34" s="54"/>
      <c r="Z34" s="14">
        <f t="shared" ref="Z34:Z41" si="1">IF(AQ34="5",BJ34,0)</f>
        <v>0</v>
      </c>
      <c r="AB34" s="14">
        <f t="shared" ref="AB34:AB41" si="2">IF(AQ34="1",BH34,0)</f>
        <v>0</v>
      </c>
      <c r="AC34" s="14">
        <f t="shared" ref="AC34:AC41" si="3">IF(AQ34="1",BI34,0)</f>
        <v>0</v>
      </c>
      <c r="AD34" s="14">
        <f t="shared" ref="AD34:AD41" si="4">IF(AQ34="7",BH34,0)</f>
        <v>0</v>
      </c>
      <c r="AE34" s="14">
        <f t="shared" ref="AE34:AE41" si="5">IF(AQ34="7",BI34,0)</f>
        <v>0</v>
      </c>
      <c r="AF34" s="14">
        <f t="shared" ref="AF34:AF41" si="6">IF(AQ34="2",BH34,0)</f>
        <v>0</v>
      </c>
      <c r="AG34" s="14">
        <f t="shared" ref="AG34:AG41" si="7">IF(AQ34="2",BI34,0)</f>
        <v>0</v>
      </c>
      <c r="AH34" s="14">
        <f t="shared" ref="AH34:AH41" si="8">IF(AQ34="0",BJ34,0)</f>
        <v>0</v>
      </c>
      <c r="AI34" s="49" t="s">
        <v>19</v>
      </c>
      <c r="AJ34" s="14">
        <f t="shared" ref="AJ34:AJ41" si="9">IF(AN34=0,I34,0)</f>
        <v>0</v>
      </c>
      <c r="AK34" s="14">
        <f t="shared" ref="AK34:AK41" si="10">IF(AN34=12,I34,0)</f>
        <v>0</v>
      </c>
      <c r="AL34" s="14">
        <f t="shared" ref="AL34:AL41" si="11">IF(AN34=21,I34,0)</f>
        <v>0</v>
      </c>
      <c r="AN34" s="14">
        <v>21</v>
      </c>
      <c r="AO34" s="14">
        <f>H34*0</f>
        <v>0</v>
      </c>
      <c r="AP34" s="14">
        <f>H34*(1-0)</f>
        <v>0</v>
      </c>
      <c r="AQ34" s="65" t="s">
        <v>168</v>
      </c>
      <c r="AV34" s="14">
        <f t="shared" ref="AV34:AV41" si="12">AW34+AX34</f>
        <v>0</v>
      </c>
      <c r="AW34" s="14">
        <f t="shared" ref="AW34:AW41" si="13">G34*AO34</f>
        <v>0</v>
      </c>
      <c r="AX34" s="14">
        <f t="shared" ref="AX34:AX41" si="14">G34*AP34</f>
        <v>0</v>
      </c>
      <c r="AY34" s="65" t="s">
        <v>222</v>
      </c>
      <c r="AZ34" s="65" t="s">
        <v>173</v>
      </c>
      <c r="BA34" s="49" t="s">
        <v>174</v>
      </c>
      <c r="BC34" s="14">
        <f t="shared" ref="BC34:BC41" si="15">AW34+AX34</f>
        <v>0</v>
      </c>
      <c r="BD34" s="14">
        <f t="shared" ref="BD34:BD41" si="16">H34/(100-BE34)*100</f>
        <v>0</v>
      </c>
      <c r="BE34" s="14">
        <v>0</v>
      </c>
      <c r="BF34" s="14">
        <f>34</f>
        <v>34</v>
      </c>
      <c r="BH34" s="14">
        <f t="shared" ref="BH34:BH41" si="17">G34*AO34</f>
        <v>0</v>
      </c>
      <c r="BI34" s="14">
        <f t="shared" ref="BI34:BI41" si="18">G34*AP34</f>
        <v>0</v>
      </c>
      <c r="BJ34" s="14">
        <f t="shared" ref="BJ34:BJ41" si="19">G34*H34</f>
        <v>0</v>
      </c>
      <c r="BK34" s="14"/>
      <c r="BL34" s="14">
        <v>18</v>
      </c>
      <c r="BW34" s="14">
        <v>21</v>
      </c>
      <c r="BX34" s="3" t="s">
        <v>221</v>
      </c>
    </row>
    <row r="35" spans="1:76" ht="25.5" x14ac:dyDescent="0.25">
      <c r="A35" s="1" t="s">
        <v>32</v>
      </c>
      <c r="B35" s="2" t="s">
        <v>19</v>
      </c>
      <c r="C35" s="2" t="s">
        <v>223</v>
      </c>
      <c r="D35" s="81" t="s">
        <v>224</v>
      </c>
      <c r="E35" s="74"/>
      <c r="F35" s="2" t="s">
        <v>171</v>
      </c>
      <c r="G35" s="14">
        <v>4</v>
      </c>
      <c r="H35" s="64">
        <v>0</v>
      </c>
      <c r="I35" s="14">
        <f t="shared" si="0"/>
        <v>0</v>
      </c>
      <c r="K35" s="54"/>
      <c r="Z35" s="14">
        <f t="shared" si="1"/>
        <v>0</v>
      </c>
      <c r="AB35" s="14">
        <f t="shared" si="2"/>
        <v>0</v>
      </c>
      <c r="AC35" s="14">
        <f t="shared" si="3"/>
        <v>0</v>
      </c>
      <c r="AD35" s="14">
        <f t="shared" si="4"/>
        <v>0</v>
      </c>
      <c r="AE35" s="14">
        <f t="shared" si="5"/>
        <v>0</v>
      </c>
      <c r="AF35" s="14">
        <f t="shared" si="6"/>
        <v>0</v>
      </c>
      <c r="AG35" s="14">
        <f t="shared" si="7"/>
        <v>0</v>
      </c>
      <c r="AH35" s="14">
        <f t="shared" si="8"/>
        <v>0</v>
      </c>
      <c r="AI35" s="49" t="s">
        <v>19</v>
      </c>
      <c r="AJ35" s="14">
        <f t="shared" si="9"/>
        <v>0</v>
      </c>
      <c r="AK35" s="14">
        <f t="shared" si="10"/>
        <v>0</v>
      </c>
      <c r="AL35" s="14">
        <f t="shared" si="11"/>
        <v>0</v>
      </c>
      <c r="AN35" s="14">
        <v>21</v>
      </c>
      <c r="AO35" s="14">
        <f>H35*0</f>
        <v>0</v>
      </c>
      <c r="AP35" s="14">
        <f>H35*(1-0)</f>
        <v>0</v>
      </c>
      <c r="AQ35" s="65" t="s">
        <v>168</v>
      </c>
      <c r="AV35" s="14">
        <f t="shared" si="12"/>
        <v>0</v>
      </c>
      <c r="AW35" s="14">
        <f t="shared" si="13"/>
        <v>0</v>
      </c>
      <c r="AX35" s="14">
        <f t="shared" si="14"/>
        <v>0</v>
      </c>
      <c r="AY35" s="65" t="s">
        <v>222</v>
      </c>
      <c r="AZ35" s="65" t="s">
        <v>173</v>
      </c>
      <c r="BA35" s="49" t="s">
        <v>174</v>
      </c>
      <c r="BC35" s="14">
        <f t="shared" si="15"/>
        <v>0</v>
      </c>
      <c r="BD35" s="14">
        <f t="shared" si="16"/>
        <v>0</v>
      </c>
      <c r="BE35" s="14">
        <v>0</v>
      </c>
      <c r="BF35" s="14">
        <f>35</f>
        <v>35</v>
      </c>
      <c r="BH35" s="14">
        <f t="shared" si="17"/>
        <v>0</v>
      </c>
      <c r="BI35" s="14">
        <f t="shared" si="18"/>
        <v>0</v>
      </c>
      <c r="BJ35" s="14">
        <f t="shared" si="19"/>
        <v>0</v>
      </c>
      <c r="BK35" s="14"/>
      <c r="BL35" s="14">
        <v>18</v>
      </c>
      <c r="BW35" s="14">
        <v>21</v>
      </c>
      <c r="BX35" s="3" t="s">
        <v>224</v>
      </c>
    </row>
    <row r="36" spans="1:76" x14ac:dyDescent="0.25">
      <c r="A36" s="1" t="s">
        <v>225</v>
      </c>
      <c r="B36" s="2" t="s">
        <v>19</v>
      </c>
      <c r="C36" s="2" t="s">
        <v>226</v>
      </c>
      <c r="D36" s="81" t="s">
        <v>227</v>
      </c>
      <c r="E36" s="74"/>
      <c r="F36" s="2" t="s">
        <v>228</v>
      </c>
      <c r="G36" s="14">
        <v>0.2</v>
      </c>
      <c r="H36" s="64">
        <v>0</v>
      </c>
      <c r="I36" s="14">
        <f t="shared" si="0"/>
        <v>0</v>
      </c>
      <c r="K36" s="54"/>
      <c r="Z36" s="14">
        <f t="shared" si="1"/>
        <v>0</v>
      </c>
      <c r="AB36" s="14">
        <f t="shared" si="2"/>
        <v>0</v>
      </c>
      <c r="AC36" s="14">
        <f t="shared" si="3"/>
        <v>0</v>
      </c>
      <c r="AD36" s="14">
        <f t="shared" si="4"/>
        <v>0</v>
      </c>
      <c r="AE36" s="14">
        <f t="shared" si="5"/>
        <v>0</v>
      </c>
      <c r="AF36" s="14">
        <f t="shared" si="6"/>
        <v>0</v>
      </c>
      <c r="AG36" s="14">
        <f t="shared" si="7"/>
        <v>0</v>
      </c>
      <c r="AH36" s="14">
        <f t="shared" si="8"/>
        <v>0</v>
      </c>
      <c r="AI36" s="49" t="s">
        <v>19</v>
      </c>
      <c r="AJ36" s="14">
        <f t="shared" si="9"/>
        <v>0</v>
      </c>
      <c r="AK36" s="14">
        <f t="shared" si="10"/>
        <v>0</v>
      </c>
      <c r="AL36" s="14">
        <f t="shared" si="11"/>
        <v>0</v>
      </c>
      <c r="AN36" s="14">
        <v>21</v>
      </c>
      <c r="AO36" s="14">
        <f>H36*1</f>
        <v>0</v>
      </c>
      <c r="AP36" s="14">
        <f>H36*(1-1)</f>
        <v>0</v>
      </c>
      <c r="AQ36" s="65" t="s">
        <v>168</v>
      </c>
      <c r="AV36" s="14">
        <f t="shared" si="12"/>
        <v>0</v>
      </c>
      <c r="AW36" s="14">
        <f t="shared" si="13"/>
        <v>0</v>
      </c>
      <c r="AX36" s="14">
        <f t="shared" si="14"/>
        <v>0</v>
      </c>
      <c r="AY36" s="65" t="s">
        <v>222</v>
      </c>
      <c r="AZ36" s="65" t="s">
        <v>173</v>
      </c>
      <c r="BA36" s="49" t="s">
        <v>174</v>
      </c>
      <c r="BC36" s="14">
        <f t="shared" si="15"/>
        <v>0</v>
      </c>
      <c r="BD36" s="14">
        <f t="shared" si="16"/>
        <v>0</v>
      </c>
      <c r="BE36" s="14">
        <v>0</v>
      </c>
      <c r="BF36" s="14">
        <f>36</f>
        <v>36</v>
      </c>
      <c r="BH36" s="14">
        <f t="shared" si="17"/>
        <v>0</v>
      </c>
      <c r="BI36" s="14">
        <f t="shared" si="18"/>
        <v>0</v>
      </c>
      <c r="BJ36" s="14">
        <f t="shared" si="19"/>
        <v>0</v>
      </c>
      <c r="BK36" s="14"/>
      <c r="BL36" s="14">
        <v>18</v>
      </c>
      <c r="BW36" s="14">
        <v>21</v>
      </c>
      <c r="BX36" s="3" t="s">
        <v>227</v>
      </c>
    </row>
    <row r="37" spans="1:76" ht="25.5" x14ac:dyDescent="0.25">
      <c r="A37" s="1" t="s">
        <v>229</v>
      </c>
      <c r="B37" s="2" t="s">
        <v>19</v>
      </c>
      <c r="C37" s="2" t="s">
        <v>230</v>
      </c>
      <c r="D37" s="81" t="s">
        <v>231</v>
      </c>
      <c r="E37" s="74"/>
      <c r="F37" s="2" t="s">
        <v>171</v>
      </c>
      <c r="G37" s="14">
        <v>9</v>
      </c>
      <c r="H37" s="64">
        <v>0</v>
      </c>
      <c r="I37" s="14">
        <f t="shared" si="0"/>
        <v>0</v>
      </c>
      <c r="K37" s="54"/>
      <c r="Z37" s="14">
        <f t="shared" si="1"/>
        <v>0</v>
      </c>
      <c r="AB37" s="14">
        <f t="shared" si="2"/>
        <v>0</v>
      </c>
      <c r="AC37" s="14">
        <f t="shared" si="3"/>
        <v>0</v>
      </c>
      <c r="AD37" s="14">
        <f t="shared" si="4"/>
        <v>0</v>
      </c>
      <c r="AE37" s="14">
        <f t="shared" si="5"/>
        <v>0</v>
      </c>
      <c r="AF37" s="14">
        <f t="shared" si="6"/>
        <v>0</v>
      </c>
      <c r="AG37" s="14">
        <f t="shared" si="7"/>
        <v>0</v>
      </c>
      <c r="AH37" s="14">
        <f t="shared" si="8"/>
        <v>0</v>
      </c>
      <c r="AI37" s="49" t="s">
        <v>19</v>
      </c>
      <c r="AJ37" s="14">
        <f t="shared" si="9"/>
        <v>0</v>
      </c>
      <c r="AK37" s="14">
        <f t="shared" si="10"/>
        <v>0</v>
      </c>
      <c r="AL37" s="14">
        <f t="shared" si="11"/>
        <v>0</v>
      </c>
      <c r="AN37" s="14">
        <v>21</v>
      </c>
      <c r="AO37" s="14">
        <f>H37*0</f>
        <v>0</v>
      </c>
      <c r="AP37" s="14">
        <f>H37*(1-0)</f>
        <v>0</v>
      </c>
      <c r="AQ37" s="65" t="s">
        <v>168</v>
      </c>
      <c r="AV37" s="14">
        <f t="shared" si="12"/>
        <v>0</v>
      </c>
      <c r="AW37" s="14">
        <f t="shared" si="13"/>
        <v>0</v>
      </c>
      <c r="AX37" s="14">
        <f t="shared" si="14"/>
        <v>0</v>
      </c>
      <c r="AY37" s="65" t="s">
        <v>222</v>
      </c>
      <c r="AZ37" s="65" t="s">
        <v>173</v>
      </c>
      <c r="BA37" s="49" t="s">
        <v>174</v>
      </c>
      <c r="BC37" s="14">
        <f t="shared" si="15"/>
        <v>0</v>
      </c>
      <c r="BD37" s="14">
        <f t="shared" si="16"/>
        <v>0</v>
      </c>
      <c r="BE37" s="14">
        <v>0</v>
      </c>
      <c r="BF37" s="14">
        <f>37</f>
        <v>37</v>
      </c>
      <c r="BH37" s="14">
        <f t="shared" si="17"/>
        <v>0</v>
      </c>
      <c r="BI37" s="14">
        <f t="shared" si="18"/>
        <v>0</v>
      </c>
      <c r="BJ37" s="14">
        <f t="shared" si="19"/>
        <v>0</v>
      </c>
      <c r="BK37" s="14"/>
      <c r="BL37" s="14">
        <v>18</v>
      </c>
      <c r="BW37" s="14">
        <v>21</v>
      </c>
      <c r="BX37" s="3" t="s">
        <v>231</v>
      </c>
    </row>
    <row r="38" spans="1:76" ht="25.5" x14ac:dyDescent="0.25">
      <c r="A38" s="1" t="s">
        <v>57</v>
      </c>
      <c r="B38" s="2" t="s">
        <v>19</v>
      </c>
      <c r="C38" s="2" t="s">
        <v>232</v>
      </c>
      <c r="D38" s="81" t="s">
        <v>233</v>
      </c>
      <c r="E38" s="74"/>
      <c r="F38" s="2" t="s">
        <v>171</v>
      </c>
      <c r="G38" s="14">
        <v>4</v>
      </c>
      <c r="H38" s="64">
        <v>0</v>
      </c>
      <c r="I38" s="14">
        <f t="shared" si="0"/>
        <v>0</v>
      </c>
      <c r="K38" s="54"/>
      <c r="Z38" s="14">
        <f t="shared" si="1"/>
        <v>0</v>
      </c>
      <c r="AB38" s="14">
        <f t="shared" si="2"/>
        <v>0</v>
      </c>
      <c r="AC38" s="14">
        <f t="shared" si="3"/>
        <v>0</v>
      </c>
      <c r="AD38" s="14">
        <f t="shared" si="4"/>
        <v>0</v>
      </c>
      <c r="AE38" s="14">
        <f t="shared" si="5"/>
        <v>0</v>
      </c>
      <c r="AF38" s="14">
        <f t="shared" si="6"/>
        <v>0</v>
      </c>
      <c r="AG38" s="14">
        <f t="shared" si="7"/>
        <v>0</v>
      </c>
      <c r="AH38" s="14">
        <f t="shared" si="8"/>
        <v>0</v>
      </c>
      <c r="AI38" s="49" t="s">
        <v>19</v>
      </c>
      <c r="AJ38" s="14">
        <f t="shared" si="9"/>
        <v>0</v>
      </c>
      <c r="AK38" s="14">
        <f t="shared" si="10"/>
        <v>0</v>
      </c>
      <c r="AL38" s="14">
        <f t="shared" si="11"/>
        <v>0</v>
      </c>
      <c r="AN38" s="14">
        <v>21</v>
      </c>
      <c r="AO38" s="14">
        <f>H38*0</f>
        <v>0</v>
      </c>
      <c r="AP38" s="14">
        <f>H38*(1-0)</f>
        <v>0</v>
      </c>
      <c r="AQ38" s="65" t="s">
        <v>168</v>
      </c>
      <c r="AV38" s="14">
        <f t="shared" si="12"/>
        <v>0</v>
      </c>
      <c r="AW38" s="14">
        <f t="shared" si="13"/>
        <v>0</v>
      </c>
      <c r="AX38" s="14">
        <f t="shared" si="14"/>
        <v>0</v>
      </c>
      <c r="AY38" s="65" t="s">
        <v>222</v>
      </c>
      <c r="AZ38" s="65" t="s">
        <v>173</v>
      </c>
      <c r="BA38" s="49" t="s">
        <v>174</v>
      </c>
      <c r="BC38" s="14">
        <f t="shared" si="15"/>
        <v>0</v>
      </c>
      <c r="BD38" s="14">
        <f t="shared" si="16"/>
        <v>0</v>
      </c>
      <c r="BE38" s="14">
        <v>0</v>
      </c>
      <c r="BF38" s="14">
        <f>38</f>
        <v>38</v>
      </c>
      <c r="BH38" s="14">
        <f t="shared" si="17"/>
        <v>0</v>
      </c>
      <c r="BI38" s="14">
        <f t="shared" si="18"/>
        <v>0</v>
      </c>
      <c r="BJ38" s="14">
        <f t="shared" si="19"/>
        <v>0</v>
      </c>
      <c r="BK38" s="14"/>
      <c r="BL38" s="14">
        <v>18</v>
      </c>
      <c r="BW38" s="14">
        <v>21</v>
      </c>
      <c r="BX38" s="3" t="s">
        <v>233</v>
      </c>
    </row>
    <row r="39" spans="1:76" x14ac:dyDescent="0.25">
      <c r="A39" s="1" t="s">
        <v>234</v>
      </c>
      <c r="B39" s="2" t="s">
        <v>19</v>
      </c>
      <c r="C39" s="2" t="s">
        <v>235</v>
      </c>
      <c r="D39" s="81" t="s">
        <v>236</v>
      </c>
      <c r="E39" s="74"/>
      <c r="F39" s="2" t="s">
        <v>190</v>
      </c>
      <c r="G39" s="14">
        <v>0.20399999999999999</v>
      </c>
      <c r="H39" s="64">
        <v>0</v>
      </c>
      <c r="I39" s="14">
        <f t="shared" si="0"/>
        <v>0</v>
      </c>
      <c r="K39" s="54"/>
      <c r="Z39" s="14">
        <f t="shared" si="1"/>
        <v>0</v>
      </c>
      <c r="AB39" s="14">
        <f t="shared" si="2"/>
        <v>0</v>
      </c>
      <c r="AC39" s="14">
        <f t="shared" si="3"/>
        <v>0</v>
      </c>
      <c r="AD39" s="14">
        <f t="shared" si="4"/>
        <v>0</v>
      </c>
      <c r="AE39" s="14">
        <f t="shared" si="5"/>
        <v>0</v>
      </c>
      <c r="AF39" s="14">
        <f t="shared" si="6"/>
        <v>0</v>
      </c>
      <c r="AG39" s="14">
        <f t="shared" si="7"/>
        <v>0</v>
      </c>
      <c r="AH39" s="14">
        <f t="shared" si="8"/>
        <v>0</v>
      </c>
      <c r="AI39" s="49" t="s">
        <v>19</v>
      </c>
      <c r="AJ39" s="14">
        <f t="shared" si="9"/>
        <v>0</v>
      </c>
      <c r="AK39" s="14">
        <f t="shared" si="10"/>
        <v>0</v>
      </c>
      <c r="AL39" s="14">
        <f t="shared" si="11"/>
        <v>0</v>
      </c>
      <c r="AN39" s="14">
        <v>21</v>
      </c>
      <c r="AO39" s="14">
        <f>H39*1</f>
        <v>0</v>
      </c>
      <c r="AP39" s="14">
        <f>H39*(1-1)</f>
        <v>0</v>
      </c>
      <c r="AQ39" s="65" t="s">
        <v>168</v>
      </c>
      <c r="AV39" s="14">
        <f t="shared" si="12"/>
        <v>0</v>
      </c>
      <c r="AW39" s="14">
        <f t="shared" si="13"/>
        <v>0</v>
      </c>
      <c r="AX39" s="14">
        <f t="shared" si="14"/>
        <v>0</v>
      </c>
      <c r="AY39" s="65" t="s">
        <v>222</v>
      </c>
      <c r="AZ39" s="65" t="s">
        <v>173</v>
      </c>
      <c r="BA39" s="49" t="s">
        <v>174</v>
      </c>
      <c r="BC39" s="14">
        <f t="shared" si="15"/>
        <v>0</v>
      </c>
      <c r="BD39" s="14">
        <f t="shared" si="16"/>
        <v>0</v>
      </c>
      <c r="BE39" s="14">
        <v>0</v>
      </c>
      <c r="BF39" s="14">
        <f>39</f>
        <v>39</v>
      </c>
      <c r="BH39" s="14">
        <f t="shared" si="17"/>
        <v>0</v>
      </c>
      <c r="BI39" s="14">
        <f t="shared" si="18"/>
        <v>0</v>
      </c>
      <c r="BJ39" s="14">
        <f t="shared" si="19"/>
        <v>0</v>
      </c>
      <c r="BK39" s="14"/>
      <c r="BL39" s="14">
        <v>18</v>
      </c>
      <c r="BW39" s="14">
        <v>21</v>
      </c>
      <c r="BX39" s="3" t="s">
        <v>236</v>
      </c>
    </row>
    <row r="40" spans="1:76" x14ac:dyDescent="0.25">
      <c r="A40" s="1" t="s">
        <v>237</v>
      </c>
      <c r="B40" s="2" t="s">
        <v>19</v>
      </c>
      <c r="C40" s="2" t="s">
        <v>238</v>
      </c>
      <c r="D40" s="81" t="s">
        <v>239</v>
      </c>
      <c r="E40" s="74"/>
      <c r="F40" s="2" t="s">
        <v>171</v>
      </c>
      <c r="G40" s="14">
        <v>4</v>
      </c>
      <c r="H40" s="64">
        <v>0</v>
      </c>
      <c r="I40" s="14">
        <f t="shared" si="0"/>
        <v>0</v>
      </c>
      <c r="K40" s="54"/>
      <c r="Z40" s="14">
        <f t="shared" si="1"/>
        <v>0</v>
      </c>
      <c r="AB40" s="14">
        <f t="shared" si="2"/>
        <v>0</v>
      </c>
      <c r="AC40" s="14">
        <f t="shared" si="3"/>
        <v>0</v>
      </c>
      <c r="AD40" s="14">
        <f t="shared" si="4"/>
        <v>0</v>
      </c>
      <c r="AE40" s="14">
        <f t="shared" si="5"/>
        <v>0</v>
      </c>
      <c r="AF40" s="14">
        <f t="shared" si="6"/>
        <v>0</v>
      </c>
      <c r="AG40" s="14">
        <f t="shared" si="7"/>
        <v>0</v>
      </c>
      <c r="AH40" s="14">
        <f t="shared" si="8"/>
        <v>0</v>
      </c>
      <c r="AI40" s="49" t="s">
        <v>19</v>
      </c>
      <c r="AJ40" s="14">
        <f t="shared" si="9"/>
        <v>0</v>
      </c>
      <c r="AK40" s="14">
        <f t="shared" si="10"/>
        <v>0</v>
      </c>
      <c r="AL40" s="14">
        <f t="shared" si="11"/>
        <v>0</v>
      </c>
      <c r="AN40" s="14">
        <v>21</v>
      </c>
      <c r="AO40" s="14">
        <f>H40*0</f>
        <v>0</v>
      </c>
      <c r="AP40" s="14">
        <f>H40*(1-0)</f>
        <v>0</v>
      </c>
      <c r="AQ40" s="65" t="s">
        <v>168</v>
      </c>
      <c r="AV40" s="14">
        <f t="shared" si="12"/>
        <v>0</v>
      </c>
      <c r="AW40" s="14">
        <f t="shared" si="13"/>
        <v>0</v>
      </c>
      <c r="AX40" s="14">
        <f t="shared" si="14"/>
        <v>0</v>
      </c>
      <c r="AY40" s="65" t="s">
        <v>222</v>
      </c>
      <c r="AZ40" s="65" t="s">
        <v>173</v>
      </c>
      <c r="BA40" s="49" t="s">
        <v>174</v>
      </c>
      <c r="BC40" s="14">
        <f t="shared" si="15"/>
        <v>0</v>
      </c>
      <c r="BD40" s="14">
        <f t="shared" si="16"/>
        <v>0</v>
      </c>
      <c r="BE40" s="14">
        <v>0</v>
      </c>
      <c r="BF40" s="14">
        <f>40</f>
        <v>40</v>
      </c>
      <c r="BH40" s="14">
        <f t="shared" si="17"/>
        <v>0</v>
      </c>
      <c r="BI40" s="14">
        <f t="shared" si="18"/>
        <v>0</v>
      </c>
      <c r="BJ40" s="14">
        <f t="shared" si="19"/>
        <v>0</v>
      </c>
      <c r="BK40" s="14"/>
      <c r="BL40" s="14">
        <v>18</v>
      </c>
      <c r="BW40" s="14">
        <v>21</v>
      </c>
      <c r="BX40" s="3" t="s">
        <v>239</v>
      </c>
    </row>
    <row r="41" spans="1:76" x14ac:dyDescent="0.25">
      <c r="A41" s="1" t="s">
        <v>240</v>
      </c>
      <c r="B41" s="2" t="s">
        <v>19</v>
      </c>
      <c r="C41" s="2" t="s">
        <v>241</v>
      </c>
      <c r="D41" s="81" t="s">
        <v>242</v>
      </c>
      <c r="E41" s="74"/>
      <c r="F41" s="2" t="s">
        <v>171</v>
      </c>
      <c r="G41" s="14">
        <v>4</v>
      </c>
      <c r="H41" s="64">
        <v>0</v>
      </c>
      <c r="I41" s="14">
        <f t="shared" si="0"/>
        <v>0</v>
      </c>
      <c r="K41" s="54"/>
      <c r="Z41" s="14">
        <f t="shared" si="1"/>
        <v>0</v>
      </c>
      <c r="AB41" s="14">
        <f t="shared" si="2"/>
        <v>0</v>
      </c>
      <c r="AC41" s="14">
        <f t="shared" si="3"/>
        <v>0</v>
      </c>
      <c r="AD41" s="14">
        <f t="shared" si="4"/>
        <v>0</v>
      </c>
      <c r="AE41" s="14">
        <f t="shared" si="5"/>
        <v>0</v>
      </c>
      <c r="AF41" s="14">
        <f t="shared" si="6"/>
        <v>0</v>
      </c>
      <c r="AG41" s="14">
        <f t="shared" si="7"/>
        <v>0</v>
      </c>
      <c r="AH41" s="14">
        <f t="shared" si="8"/>
        <v>0</v>
      </c>
      <c r="AI41" s="49" t="s">
        <v>19</v>
      </c>
      <c r="AJ41" s="14">
        <f t="shared" si="9"/>
        <v>0</v>
      </c>
      <c r="AK41" s="14">
        <f t="shared" si="10"/>
        <v>0</v>
      </c>
      <c r="AL41" s="14">
        <f t="shared" si="11"/>
        <v>0</v>
      </c>
      <c r="AN41" s="14">
        <v>21</v>
      </c>
      <c r="AO41" s="14">
        <f>H41*0</f>
        <v>0</v>
      </c>
      <c r="AP41" s="14">
        <f>H41*(1-0)</f>
        <v>0</v>
      </c>
      <c r="AQ41" s="65" t="s">
        <v>168</v>
      </c>
      <c r="AV41" s="14">
        <f t="shared" si="12"/>
        <v>0</v>
      </c>
      <c r="AW41" s="14">
        <f t="shared" si="13"/>
        <v>0</v>
      </c>
      <c r="AX41" s="14">
        <f t="shared" si="14"/>
        <v>0</v>
      </c>
      <c r="AY41" s="65" t="s">
        <v>222</v>
      </c>
      <c r="AZ41" s="65" t="s">
        <v>173</v>
      </c>
      <c r="BA41" s="49" t="s">
        <v>174</v>
      </c>
      <c r="BC41" s="14">
        <f t="shared" si="15"/>
        <v>0</v>
      </c>
      <c r="BD41" s="14">
        <f t="shared" si="16"/>
        <v>0</v>
      </c>
      <c r="BE41" s="14">
        <v>0</v>
      </c>
      <c r="BF41" s="14">
        <f>41</f>
        <v>41</v>
      </c>
      <c r="BH41" s="14">
        <f t="shared" si="17"/>
        <v>0</v>
      </c>
      <c r="BI41" s="14">
        <f t="shared" si="18"/>
        <v>0</v>
      </c>
      <c r="BJ41" s="14">
        <f t="shared" si="19"/>
        <v>0</v>
      </c>
      <c r="BK41" s="14"/>
      <c r="BL41" s="14">
        <v>18</v>
      </c>
      <c r="BW41" s="14">
        <v>21</v>
      </c>
      <c r="BX41" s="3" t="s">
        <v>242</v>
      </c>
    </row>
    <row r="42" spans="1:76" x14ac:dyDescent="0.25">
      <c r="A42" s="60" t="s">
        <v>20</v>
      </c>
      <c r="B42" s="61" t="s">
        <v>19</v>
      </c>
      <c r="C42" s="61" t="s">
        <v>34</v>
      </c>
      <c r="D42" s="162" t="s">
        <v>35</v>
      </c>
      <c r="E42" s="163"/>
      <c r="F42" s="62" t="s">
        <v>13</v>
      </c>
      <c r="G42" s="62" t="s">
        <v>13</v>
      </c>
      <c r="H42" s="63" t="s">
        <v>13</v>
      </c>
      <c r="I42" s="43">
        <f>SUM(I43:I43)</f>
        <v>0</v>
      </c>
      <c r="K42" s="54"/>
      <c r="AI42" s="49" t="s">
        <v>19</v>
      </c>
      <c r="AS42" s="43">
        <f>SUM(AJ43:AJ43)</f>
        <v>0</v>
      </c>
      <c r="AT42" s="43">
        <f>SUM(AK43:AK43)</f>
        <v>0</v>
      </c>
      <c r="AU42" s="43">
        <f>SUM(AL43:AL43)</f>
        <v>0</v>
      </c>
    </row>
    <row r="43" spans="1:76" x14ac:dyDescent="0.25">
      <c r="A43" s="1" t="s">
        <v>243</v>
      </c>
      <c r="B43" s="2" t="s">
        <v>19</v>
      </c>
      <c r="C43" s="2" t="s">
        <v>244</v>
      </c>
      <c r="D43" s="81" t="s">
        <v>245</v>
      </c>
      <c r="E43" s="74"/>
      <c r="F43" s="2" t="s">
        <v>190</v>
      </c>
      <c r="G43" s="14">
        <v>3.5630000000000002</v>
      </c>
      <c r="H43" s="64">
        <v>0</v>
      </c>
      <c r="I43" s="14">
        <f>G43*H43</f>
        <v>0</v>
      </c>
      <c r="K43" s="54"/>
      <c r="Z43" s="14">
        <f>IF(AQ43="5",BJ43,0)</f>
        <v>0</v>
      </c>
      <c r="AB43" s="14">
        <f>IF(AQ43="1",BH43,0)</f>
        <v>0</v>
      </c>
      <c r="AC43" s="14">
        <f>IF(AQ43="1",BI43,0)</f>
        <v>0</v>
      </c>
      <c r="AD43" s="14">
        <f>IF(AQ43="7",BH43,0)</f>
        <v>0</v>
      </c>
      <c r="AE43" s="14">
        <f>IF(AQ43="7",BI43,0)</f>
        <v>0</v>
      </c>
      <c r="AF43" s="14">
        <f>IF(AQ43="2",BH43,0)</f>
        <v>0</v>
      </c>
      <c r="AG43" s="14">
        <f>IF(AQ43="2",BI43,0)</f>
        <v>0</v>
      </c>
      <c r="AH43" s="14">
        <f>IF(AQ43="0",BJ43,0)</f>
        <v>0</v>
      </c>
      <c r="AI43" s="49" t="s">
        <v>19</v>
      </c>
      <c r="AJ43" s="14">
        <f>IF(AN43=0,I43,0)</f>
        <v>0</v>
      </c>
      <c r="AK43" s="14">
        <f>IF(AN43=12,I43,0)</f>
        <v>0</v>
      </c>
      <c r="AL43" s="14">
        <f>IF(AN43=21,I43,0)</f>
        <v>0</v>
      </c>
      <c r="AN43" s="14">
        <v>21</v>
      </c>
      <c r="AO43" s="14">
        <f>H43*0</f>
        <v>0</v>
      </c>
      <c r="AP43" s="14">
        <f>H43*(1-0)</f>
        <v>0</v>
      </c>
      <c r="AQ43" s="65" t="s">
        <v>168</v>
      </c>
      <c r="AV43" s="14">
        <f>AW43+AX43</f>
        <v>0</v>
      </c>
      <c r="AW43" s="14">
        <f>G43*AO43</f>
        <v>0</v>
      </c>
      <c r="AX43" s="14">
        <f>G43*AP43</f>
        <v>0</v>
      </c>
      <c r="AY43" s="65" t="s">
        <v>246</v>
      </c>
      <c r="AZ43" s="65" t="s">
        <v>247</v>
      </c>
      <c r="BA43" s="49" t="s">
        <v>174</v>
      </c>
      <c r="BC43" s="14">
        <f>AW43+AX43</f>
        <v>0</v>
      </c>
      <c r="BD43" s="14">
        <f>H43/(100-BE43)*100</f>
        <v>0</v>
      </c>
      <c r="BE43" s="14">
        <v>0</v>
      </c>
      <c r="BF43" s="14">
        <f>43</f>
        <v>43</v>
      </c>
      <c r="BH43" s="14">
        <f>G43*AO43</f>
        <v>0</v>
      </c>
      <c r="BI43" s="14">
        <f>G43*AP43</f>
        <v>0</v>
      </c>
      <c r="BJ43" s="14">
        <f>G43*H43</f>
        <v>0</v>
      </c>
      <c r="BK43" s="14"/>
      <c r="BL43" s="14">
        <v>27</v>
      </c>
      <c r="BW43" s="14">
        <v>21</v>
      </c>
      <c r="BX43" s="3" t="s">
        <v>245</v>
      </c>
    </row>
    <row r="44" spans="1:76" x14ac:dyDescent="0.25">
      <c r="A44" s="60" t="s">
        <v>20</v>
      </c>
      <c r="B44" s="61" t="s">
        <v>19</v>
      </c>
      <c r="C44" s="61" t="s">
        <v>36</v>
      </c>
      <c r="D44" s="162" t="s">
        <v>37</v>
      </c>
      <c r="E44" s="163"/>
      <c r="F44" s="62" t="s">
        <v>13</v>
      </c>
      <c r="G44" s="62" t="s">
        <v>13</v>
      </c>
      <c r="H44" s="63" t="s">
        <v>13</v>
      </c>
      <c r="I44" s="43">
        <f>SUM(I45:I48)</f>
        <v>0</v>
      </c>
      <c r="K44" s="54"/>
      <c r="AI44" s="49" t="s">
        <v>19</v>
      </c>
      <c r="AS44" s="43">
        <f>SUM(AJ45:AJ48)</f>
        <v>0</v>
      </c>
      <c r="AT44" s="43">
        <f>SUM(AK45:AK48)</f>
        <v>0</v>
      </c>
      <c r="AU44" s="43">
        <f>SUM(AL45:AL48)</f>
        <v>0</v>
      </c>
    </row>
    <row r="45" spans="1:76" x14ac:dyDescent="0.25">
      <c r="A45" s="1" t="s">
        <v>248</v>
      </c>
      <c r="B45" s="2" t="s">
        <v>19</v>
      </c>
      <c r="C45" s="2" t="s">
        <v>249</v>
      </c>
      <c r="D45" s="81" t="s">
        <v>250</v>
      </c>
      <c r="E45" s="74"/>
      <c r="F45" s="2" t="s">
        <v>171</v>
      </c>
      <c r="G45" s="14">
        <v>9</v>
      </c>
      <c r="H45" s="64">
        <v>0</v>
      </c>
      <c r="I45" s="14">
        <f>G45*H45</f>
        <v>0</v>
      </c>
      <c r="K45" s="54"/>
      <c r="Z45" s="14">
        <f>IF(AQ45="5",BJ45,0)</f>
        <v>0</v>
      </c>
      <c r="AB45" s="14">
        <f>IF(AQ45="1",BH45,0)</f>
        <v>0</v>
      </c>
      <c r="AC45" s="14">
        <f>IF(AQ45="1",BI45,0)</f>
        <v>0</v>
      </c>
      <c r="AD45" s="14">
        <f>IF(AQ45="7",BH45,0)</f>
        <v>0</v>
      </c>
      <c r="AE45" s="14">
        <f>IF(AQ45="7",BI45,0)</f>
        <v>0</v>
      </c>
      <c r="AF45" s="14">
        <f>IF(AQ45="2",BH45,0)</f>
        <v>0</v>
      </c>
      <c r="AG45" s="14">
        <f>IF(AQ45="2",BI45,0)</f>
        <v>0</v>
      </c>
      <c r="AH45" s="14">
        <f>IF(AQ45="0",BJ45,0)</f>
        <v>0</v>
      </c>
      <c r="AI45" s="49" t="s">
        <v>19</v>
      </c>
      <c r="AJ45" s="14">
        <f>IF(AN45=0,I45,0)</f>
        <v>0</v>
      </c>
      <c r="AK45" s="14">
        <f>IF(AN45=12,I45,0)</f>
        <v>0</v>
      </c>
      <c r="AL45" s="14">
        <f>IF(AN45=21,I45,0)</f>
        <v>0</v>
      </c>
      <c r="AN45" s="14">
        <v>21</v>
      </c>
      <c r="AO45" s="14">
        <f>H45*0</f>
        <v>0</v>
      </c>
      <c r="AP45" s="14">
        <f>H45*(1-0)</f>
        <v>0</v>
      </c>
      <c r="AQ45" s="65" t="s">
        <v>168</v>
      </c>
      <c r="AV45" s="14">
        <f>AW45+AX45</f>
        <v>0</v>
      </c>
      <c r="AW45" s="14">
        <f>G45*AO45</f>
        <v>0</v>
      </c>
      <c r="AX45" s="14">
        <f>G45*AP45</f>
        <v>0</v>
      </c>
      <c r="AY45" s="65" t="s">
        <v>251</v>
      </c>
      <c r="AZ45" s="65" t="s">
        <v>252</v>
      </c>
      <c r="BA45" s="49" t="s">
        <v>174</v>
      </c>
      <c r="BC45" s="14">
        <f>AW45+AX45</f>
        <v>0</v>
      </c>
      <c r="BD45" s="14">
        <f>H45/(100-BE45)*100</f>
        <v>0</v>
      </c>
      <c r="BE45" s="14">
        <v>0</v>
      </c>
      <c r="BF45" s="14">
        <f>45</f>
        <v>45</v>
      </c>
      <c r="BH45" s="14">
        <f>G45*AO45</f>
        <v>0</v>
      </c>
      <c r="BI45" s="14">
        <f>G45*AP45</f>
        <v>0</v>
      </c>
      <c r="BJ45" s="14">
        <f>G45*H45</f>
        <v>0</v>
      </c>
      <c r="BK45" s="14"/>
      <c r="BL45" s="14">
        <v>57</v>
      </c>
      <c r="BW45" s="14">
        <v>21</v>
      </c>
      <c r="BX45" s="3" t="s">
        <v>250</v>
      </c>
    </row>
    <row r="46" spans="1:76" x14ac:dyDescent="0.25">
      <c r="A46" s="1" t="s">
        <v>34</v>
      </c>
      <c r="B46" s="2" t="s">
        <v>19</v>
      </c>
      <c r="C46" s="2" t="s">
        <v>253</v>
      </c>
      <c r="D46" s="81" t="s">
        <v>254</v>
      </c>
      <c r="E46" s="74"/>
      <c r="F46" s="2" t="s">
        <v>171</v>
      </c>
      <c r="G46" s="14">
        <v>9</v>
      </c>
      <c r="H46" s="64">
        <v>0</v>
      </c>
      <c r="I46" s="14">
        <f>G46*H46</f>
        <v>0</v>
      </c>
      <c r="K46" s="54"/>
      <c r="Z46" s="14">
        <f>IF(AQ46="5",BJ46,0)</f>
        <v>0</v>
      </c>
      <c r="AB46" s="14">
        <f>IF(AQ46="1",BH46,0)</f>
        <v>0</v>
      </c>
      <c r="AC46" s="14">
        <f>IF(AQ46="1",BI46,0)</f>
        <v>0</v>
      </c>
      <c r="AD46" s="14">
        <f>IF(AQ46="7",BH46,0)</f>
        <v>0</v>
      </c>
      <c r="AE46" s="14">
        <f>IF(AQ46="7",BI46,0)</f>
        <v>0</v>
      </c>
      <c r="AF46" s="14">
        <f>IF(AQ46="2",BH46,0)</f>
        <v>0</v>
      </c>
      <c r="AG46" s="14">
        <f>IF(AQ46="2",BI46,0)</f>
        <v>0</v>
      </c>
      <c r="AH46" s="14">
        <f>IF(AQ46="0",BJ46,0)</f>
        <v>0</v>
      </c>
      <c r="AI46" s="49" t="s">
        <v>19</v>
      </c>
      <c r="AJ46" s="14">
        <f>IF(AN46=0,I46,0)</f>
        <v>0</v>
      </c>
      <c r="AK46" s="14">
        <f>IF(AN46=12,I46,0)</f>
        <v>0</v>
      </c>
      <c r="AL46" s="14">
        <f>IF(AN46=21,I46,0)</f>
        <v>0</v>
      </c>
      <c r="AN46" s="14">
        <v>21</v>
      </c>
      <c r="AO46" s="14">
        <f>H46*0</f>
        <v>0</v>
      </c>
      <c r="AP46" s="14">
        <f>H46*(1-0)</f>
        <v>0</v>
      </c>
      <c r="AQ46" s="65" t="s">
        <v>168</v>
      </c>
      <c r="AV46" s="14">
        <f>AW46+AX46</f>
        <v>0</v>
      </c>
      <c r="AW46" s="14">
        <f>G46*AO46</f>
        <v>0</v>
      </c>
      <c r="AX46" s="14">
        <f>G46*AP46</f>
        <v>0</v>
      </c>
      <c r="AY46" s="65" t="s">
        <v>251</v>
      </c>
      <c r="AZ46" s="65" t="s">
        <v>252</v>
      </c>
      <c r="BA46" s="49" t="s">
        <v>174</v>
      </c>
      <c r="BC46" s="14">
        <f>AW46+AX46</f>
        <v>0</v>
      </c>
      <c r="BD46" s="14">
        <f>H46/(100-BE46)*100</f>
        <v>0</v>
      </c>
      <c r="BE46" s="14">
        <v>0</v>
      </c>
      <c r="BF46" s="14">
        <f>46</f>
        <v>46</v>
      </c>
      <c r="BH46" s="14">
        <f>G46*AO46</f>
        <v>0</v>
      </c>
      <c r="BI46" s="14">
        <f>G46*AP46</f>
        <v>0</v>
      </c>
      <c r="BJ46" s="14">
        <f>G46*H46</f>
        <v>0</v>
      </c>
      <c r="BK46" s="14"/>
      <c r="BL46" s="14">
        <v>57</v>
      </c>
      <c r="BW46" s="14">
        <v>21</v>
      </c>
      <c r="BX46" s="3" t="s">
        <v>254</v>
      </c>
    </row>
    <row r="47" spans="1:76" ht="25.5" x14ac:dyDescent="0.25">
      <c r="A47" s="1" t="s">
        <v>255</v>
      </c>
      <c r="B47" s="2" t="s">
        <v>19</v>
      </c>
      <c r="C47" s="2" t="s">
        <v>256</v>
      </c>
      <c r="D47" s="81" t="s">
        <v>257</v>
      </c>
      <c r="E47" s="74"/>
      <c r="F47" s="2" t="s">
        <v>171</v>
      </c>
      <c r="G47" s="14">
        <v>9</v>
      </c>
      <c r="H47" s="64">
        <v>0</v>
      </c>
      <c r="I47" s="14">
        <f>G47*H47</f>
        <v>0</v>
      </c>
      <c r="K47" s="54"/>
      <c r="Z47" s="14">
        <f>IF(AQ47="5",BJ47,0)</f>
        <v>0</v>
      </c>
      <c r="AB47" s="14">
        <f>IF(AQ47="1",BH47,0)</f>
        <v>0</v>
      </c>
      <c r="AC47" s="14">
        <f>IF(AQ47="1",BI47,0)</f>
        <v>0</v>
      </c>
      <c r="AD47" s="14">
        <f>IF(AQ47="7",BH47,0)</f>
        <v>0</v>
      </c>
      <c r="AE47" s="14">
        <f>IF(AQ47="7",BI47,0)</f>
        <v>0</v>
      </c>
      <c r="AF47" s="14">
        <f>IF(AQ47="2",BH47,0)</f>
        <v>0</v>
      </c>
      <c r="AG47" s="14">
        <f>IF(AQ47="2",BI47,0)</f>
        <v>0</v>
      </c>
      <c r="AH47" s="14">
        <f>IF(AQ47="0",BJ47,0)</f>
        <v>0</v>
      </c>
      <c r="AI47" s="49" t="s">
        <v>19</v>
      </c>
      <c r="AJ47" s="14">
        <f>IF(AN47=0,I47,0)</f>
        <v>0</v>
      </c>
      <c r="AK47" s="14">
        <f>IF(AN47=12,I47,0)</f>
        <v>0</v>
      </c>
      <c r="AL47" s="14">
        <f>IF(AN47=21,I47,0)</f>
        <v>0</v>
      </c>
      <c r="AN47" s="14">
        <v>21</v>
      </c>
      <c r="AO47" s="14">
        <f>H47*0</f>
        <v>0</v>
      </c>
      <c r="AP47" s="14">
        <f>H47*(1-0)</f>
        <v>0</v>
      </c>
      <c r="AQ47" s="65" t="s">
        <v>168</v>
      </c>
      <c r="AV47" s="14">
        <f>AW47+AX47</f>
        <v>0</v>
      </c>
      <c r="AW47" s="14">
        <f>G47*AO47</f>
        <v>0</v>
      </c>
      <c r="AX47" s="14">
        <f>G47*AP47</f>
        <v>0</v>
      </c>
      <c r="AY47" s="65" t="s">
        <v>251</v>
      </c>
      <c r="AZ47" s="65" t="s">
        <v>252</v>
      </c>
      <c r="BA47" s="49" t="s">
        <v>174</v>
      </c>
      <c r="BC47" s="14">
        <f>AW47+AX47</f>
        <v>0</v>
      </c>
      <c r="BD47" s="14">
        <f>H47/(100-BE47)*100</f>
        <v>0</v>
      </c>
      <c r="BE47" s="14">
        <v>0</v>
      </c>
      <c r="BF47" s="14">
        <f>47</f>
        <v>47</v>
      </c>
      <c r="BH47" s="14">
        <f>G47*AO47</f>
        <v>0</v>
      </c>
      <c r="BI47" s="14">
        <f>G47*AP47</f>
        <v>0</v>
      </c>
      <c r="BJ47" s="14">
        <f>G47*H47</f>
        <v>0</v>
      </c>
      <c r="BK47" s="14"/>
      <c r="BL47" s="14">
        <v>57</v>
      </c>
      <c r="BW47" s="14">
        <v>21</v>
      </c>
      <c r="BX47" s="3" t="s">
        <v>257</v>
      </c>
    </row>
    <row r="48" spans="1:76" ht="25.5" x14ac:dyDescent="0.25">
      <c r="A48" s="1" t="s">
        <v>258</v>
      </c>
      <c r="B48" s="2" t="s">
        <v>19</v>
      </c>
      <c r="C48" s="2" t="s">
        <v>259</v>
      </c>
      <c r="D48" s="81" t="s">
        <v>260</v>
      </c>
      <c r="E48" s="74"/>
      <c r="F48" s="2" t="s">
        <v>171</v>
      </c>
      <c r="G48" s="14">
        <v>9</v>
      </c>
      <c r="H48" s="64">
        <v>0</v>
      </c>
      <c r="I48" s="14">
        <f>G48*H48</f>
        <v>0</v>
      </c>
      <c r="K48" s="54"/>
      <c r="Z48" s="14">
        <f>IF(AQ48="5",BJ48,0)</f>
        <v>0</v>
      </c>
      <c r="AB48" s="14">
        <f>IF(AQ48="1",BH48,0)</f>
        <v>0</v>
      </c>
      <c r="AC48" s="14">
        <f>IF(AQ48="1",BI48,0)</f>
        <v>0</v>
      </c>
      <c r="AD48" s="14">
        <f>IF(AQ48="7",BH48,0)</f>
        <v>0</v>
      </c>
      <c r="AE48" s="14">
        <f>IF(AQ48="7",BI48,0)</f>
        <v>0</v>
      </c>
      <c r="AF48" s="14">
        <f>IF(AQ48="2",BH48,0)</f>
        <v>0</v>
      </c>
      <c r="AG48" s="14">
        <f>IF(AQ48="2",BI48,0)</f>
        <v>0</v>
      </c>
      <c r="AH48" s="14">
        <f>IF(AQ48="0",BJ48,0)</f>
        <v>0</v>
      </c>
      <c r="AI48" s="49" t="s">
        <v>19</v>
      </c>
      <c r="AJ48" s="14">
        <f>IF(AN48=0,I48,0)</f>
        <v>0</v>
      </c>
      <c r="AK48" s="14">
        <f>IF(AN48=12,I48,0)</f>
        <v>0</v>
      </c>
      <c r="AL48" s="14">
        <f>IF(AN48=21,I48,0)</f>
        <v>0</v>
      </c>
      <c r="AN48" s="14">
        <v>21</v>
      </c>
      <c r="AO48" s="14">
        <f>H48*0</f>
        <v>0</v>
      </c>
      <c r="AP48" s="14">
        <f>H48*(1-0)</f>
        <v>0</v>
      </c>
      <c r="AQ48" s="65" t="s">
        <v>168</v>
      </c>
      <c r="AV48" s="14">
        <f>AW48+AX48</f>
        <v>0</v>
      </c>
      <c r="AW48" s="14">
        <f>G48*AO48</f>
        <v>0</v>
      </c>
      <c r="AX48" s="14">
        <f>G48*AP48</f>
        <v>0</v>
      </c>
      <c r="AY48" s="65" t="s">
        <v>251</v>
      </c>
      <c r="AZ48" s="65" t="s">
        <v>252</v>
      </c>
      <c r="BA48" s="49" t="s">
        <v>174</v>
      </c>
      <c r="BC48" s="14">
        <f>AW48+AX48</f>
        <v>0</v>
      </c>
      <c r="BD48" s="14">
        <f>H48/(100-BE48)*100</f>
        <v>0</v>
      </c>
      <c r="BE48" s="14">
        <v>0</v>
      </c>
      <c r="BF48" s="14">
        <f>48</f>
        <v>48</v>
      </c>
      <c r="BH48" s="14">
        <f>G48*AO48</f>
        <v>0</v>
      </c>
      <c r="BI48" s="14">
        <f>G48*AP48</f>
        <v>0</v>
      </c>
      <c r="BJ48" s="14">
        <f>G48*H48</f>
        <v>0</v>
      </c>
      <c r="BK48" s="14"/>
      <c r="BL48" s="14">
        <v>57</v>
      </c>
      <c r="BW48" s="14">
        <v>21</v>
      </c>
      <c r="BX48" s="3" t="s">
        <v>260</v>
      </c>
    </row>
    <row r="49" spans="1:76" x14ac:dyDescent="0.25">
      <c r="A49" s="60" t="s">
        <v>20</v>
      </c>
      <c r="B49" s="61" t="s">
        <v>19</v>
      </c>
      <c r="C49" s="61" t="s">
        <v>38</v>
      </c>
      <c r="D49" s="162" t="s">
        <v>39</v>
      </c>
      <c r="E49" s="163"/>
      <c r="F49" s="62" t="s">
        <v>13</v>
      </c>
      <c r="G49" s="62" t="s">
        <v>13</v>
      </c>
      <c r="H49" s="63" t="s">
        <v>13</v>
      </c>
      <c r="I49" s="43">
        <f>SUM(I50:I57)</f>
        <v>0</v>
      </c>
      <c r="K49" s="54"/>
      <c r="AI49" s="49" t="s">
        <v>19</v>
      </c>
      <c r="AS49" s="43">
        <f>SUM(AJ50:AJ57)</f>
        <v>0</v>
      </c>
      <c r="AT49" s="43">
        <f>SUM(AK50:AK57)</f>
        <v>0</v>
      </c>
      <c r="AU49" s="43">
        <f>SUM(AL50:AL57)</f>
        <v>0</v>
      </c>
    </row>
    <row r="50" spans="1:76" ht="25.5" x14ac:dyDescent="0.25">
      <c r="A50" s="1" t="s">
        <v>261</v>
      </c>
      <c r="B50" s="2" t="s">
        <v>19</v>
      </c>
      <c r="C50" s="2" t="s">
        <v>262</v>
      </c>
      <c r="D50" s="81" t="s">
        <v>263</v>
      </c>
      <c r="E50" s="74"/>
      <c r="F50" s="2" t="s">
        <v>264</v>
      </c>
      <c r="G50" s="14">
        <v>30</v>
      </c>
      <c r="H50" s="64">
        <v>0</v>
      </c>
      <c r="I50" s="14">
        <f t="shared" ref="I50:I57" si="20">G50*H50</f>
        <v>0</v>
      </c>
      <c r="K50" s="54"/>
      <c r="Z50" s="14">
        <f t="shared" ref="Z50:Z57" si="21">IF(AQ50="5",BJ50,0)</f>
        <v>0</v>
      </c>
      <c r="AB50" s="14">
        <f t="shared" ref="AB50:AB57" si="22">IF(AQ50="1",BH50,0)</f>
        <v>0</v>
      </c>
      <c r="AC50" s="14">
        <f t="shared" ref="AC50:AC57" si="23">IF(AQ50="1",BI50,0)</f>
        <v>0</v>
      </c>
      <c r="AD50" s="14">
        <f t="shared" ref="AD50:AD57" si="24">IF(AQ50="7",BH50,0)</f>
        <v>0</v>
      </c>
      <c r="AE50" s="14">
        <f t="shared" ref="AE50:AE57" si="25">IF(AQ50="7",BI50,0)</f>
        <v>0</v>
      </c>
      <c r="AF50" s="14">
        <f t="shared" ref="AF50:AF57" si="26">IF(AQ50="2",BH50,0)</f>
        <v>0</v>
      </c>
      <c r="AG50" s="14">
        <f t="shared" ref="AG50:AG57" si="27">IF(AQ50="2",BI50,0)</f>
        <v>0</v>
      </c>
      <c r="AH50" s="14">
        <f t="shared" ref="AH50:AH57" si="28">IF(AQ50="0",BJ50,0)</f>
        <v>0</v>
      </c>
      <c r="AI50" s="49" t="s">
        <v>19</v>
      </c>
      <c r="AJ50" s="14">
        <f t="shared" ref="AJ50:AJ57" si="29">IF(AN50=0,I50,0)</f>
        <v>0</v>
      </c>
      <c r="AK50" s="14">
        <f t="shared" ref="AK50:AK57" si="30">IF(AN50=12,I50,0)</f>
        <v>0</v>
      </c>
      <c r="AL50" s="14">
        <f t="shared" ref="AL50:AL57" si="31">IF(AN50=21,I50,0)</f>
        <v>0</v>
      </c>
      <c r="AN50" s="14">
        <v>21</v>
      </c>
      <c r="AO50" s="14">
        <f t="shared" ref="AO50:AO57" si="32">H50*0</f>
        <v>0</v>
      </c>
      <c r="AP50" s="14">
        <f t="shared" ref="AP50:AP57" si="33">H50*(1-0)</f>
        <v>0</v>
      </c>
      <c r="AQ50" s="65" t="s">
        <v>168</v>
      </c>
      <c r="AV50" s="14">
        <f t="shared" ref="AV50:AV57" si="34">AW50+AX50</f>
        <v>0</v>
      </c>
      <c r="AW50" s="14">
        <f t="shared" ref="AW50:AW57" si="35">G50*AO50</f>
        <v>0</v>
      </c>
      <c r="AX50" s="14">
        <f t="shared" ref="AX50:AX57" si="36">G50*AP50</f>
        <v>0</v>
      </c>
      <c r="AY50" s="65" t="s">
        <v>265</v>
      </c>
      <c r="AZ50" s="65" t="s">
        <v>266</v>
      </c>
      <c r="BA50" s="49" t="s">
        <v>174</v>
      </c>
      <c r="BC50" s="14">
        <f t="shared" ref="BC50:BC57" si="37">AW50+AX50</f>
        <v>0</v>
      </c>
      <c r="BD50" s="14">
        <f t="shared" ref="BD50:BD57" si="38">H50/(100-BE50)*100</f>
        <v>0</v>
      </c>
      <c r="BE50" s="14">
        <v>0</v>
      </c>
      <c r="BF50" s="14">
        <f>50</f>
        <v>50</v>
      </c>
      <c r="BH50" s="14">
        <f t="shared" ref="BH50:BH57" si="39">G50*AO50</f>
        <v>0</v>
      </c>
      <c r="BI50" s="14">
        <f t="shared" ref="BI50:BI57" si="40">G50*AP50</f>
        <v>0</v>
      </c>
      <c r="BJ50" s="14">
        <f t="shared" ref="BJ50:BJ57" si="41">G50*H50</f>
        <v>0</v>
      </c>
      <c r="BK50" s="14"/>
      <c r="BL50" s="14">
        <v>91</v>
      </c>
      <c r="BW50" s="14">
        <v>21</v>
      </c>
      <c r="BX50" s="3" t="s">
        <v>263</v>
      </c>
    </row>
    <row r="51" spans="1:76" x14ac:dyDescent="0.25">
      <c r="A51" s="1" t="s">
        <v>267</v>
      </c>
      <c r="B51" s="2" t="s">
        <v>19</v>
      </c>
      <c r="C51" s="2" t="s">
        <v>268</v>
      </c>
      <c r="D51" s="81" t="s">
        <v>269</v>
      </c>
      <c r="E51" s="74"/>
      <c r="F51" s="2" t="s">
        <v>171</v>
      </c>
      <c r="G51" s="14">
        <v>3.15</v>
      </c>
      <c r="H51" s="64">
        <v>0</v>
      </c>
      <c r="I51" s="14">
        <f t="shared" si="20"/>
        <v>0</v>
      </c>
      <c r="K51" s="54"/>
      <c r="Z51" s="14">
        <f t="shared" si="21"/>
        <v>0</v>
      </c>
      <c r="AB51" s="14">
        <f t="shared" si="22"/>
        <v>0</v>
      </c>
      <c r="AC51" s="14">
        <f t="shared" si="23"/>
        <v>0</v>
      </c>
      <c r="AD51" s="14">
        <f t="shared" si="24"/>
        <v>0</v>
      </c>
      <c r="AE51" s="14">
        <f t="shared" si="25"/>
        <v>0</v>
      </c>
      <c r="AF51" s="14">
        <f t="shared" si="26"/>
        <v>0</v>
      </c>
      <c r="AG51" s="14">
        <f t="shared" si="27"/>
        <v>0</v>
      </c>
      <c r="AH51" s="14">
        <f t="shared" si="28"/>
        <v>0</v>
      </c>
      <c r="AI51" s="49" t="s">
        <v>19</v>
      </c>
      <c r="AJ51" s="14">
        <f t="shared" si="29"/>
        <v>0</v>
      </c>
      <c r="AK51" s="14">
        <f t="shared" si="30"/>
        <v>0</v>
      </c>
      <c r="AL51" s="14">
        <f t="shared" si="31"/>
        <v>0</v>
      </c>
      <c r="AN51" s="14">
        <v>21</v>
      </c>
      <c r="AO51" s="14">
        <f t="shared" si="32"/>
        <v>0</v>
      </c>
      <c r="AP51" s="14">
        <f t="shared" si="33"/>
        <v>0</v>
      </c>
      <c r="AQ51" s="65" t="s">
        <v>168</v>
      </c>
      <c r="AV51" s="14">
        <f t="shared" si="34"/>
        <v>0</v>
      </c>
      <c r="AW51" s="14">
        <f t="shared" si="35"/>
        <v>0</v>
      </c>
      <c r="AX51" s="14">
        <f t="shared" si="36"/>
        <v>0</v>
      </c>
      <c r="AY51" s="65" t="s">
        <v>265</v>
      </c>
      <c r="AZ51" s="65" t="s">
        <v>266</v>
      </c>
      <c r="BA51" s="49" t="s">
        <v>174</v>
      </c>
      <c r="BC51" s="14">
        <f t="shared" si="37"/>
        <v>0</v>
      </c>
      <c r="BD51" s="14">
        <f t="shared" si="38"/>
        <v>0</v>
      </c>
      <c r="BE51" s="14">
        <v>0</v>
      </c>
      <c r="BF51" s="14">
        <f>51</f>
        <v>51</v>
      </c>
      <c r="BH51" s="14">
        <f t="shared" si="39"/>
        <v>0</v>
      </c>
      <c r="BI51" s="14">
        <f t="shared" si="40"/>
        <v>0</v>
      </c>
      <c r="BJ51" s="14">
        <f t="shared" si="41"/>
        <v>0</v>
      </c>
      <c r="BK51" s="14"/>
      <c r="BL51" s="14">
        <v>91</v>
      </c>
      <c r="BW51" s="14">
        <v>21</v>
      </c>
      <c r="BX51" s="3" t="s">
        <v>269</v>
      </c>
    </row>
    <row r="52" spans="1:76" ht="25.5" x14ac:dyDescent="0.25">
      <c r="A52" s="1" t="s">
        <v>270</v>
      </c>
      <c r="B52" s="2" t="s">
        <v>19</v>
      </c>
      <c r="C52" s="2" t="s">
        <v>271</v>
      </c>
      <c r="D52" s="81" t="s">
        <v>272</v>
      </c>
      <c r="E52" s="74"/>
      <c r="F52" s="2" t="s">
        <v>264</v>
      </c>
      <c r="G52" s="14">
        <v>15</v>
      </c>
      <c r="H52" s="64">
        <v>0</v>
      </c>
      <c r="I52" s="14">
        <f t="shared" si="20"/>
        <v>0</v>
      </c>
      <c r="K52" s="54"/>
      <c r="Z52" s="14">
        <f t="shared" si="21"/>
        <v>0</v>
      </c>
      <c r="AB52" s="14">
        <f t="shared" si="22"/>
        <v>0</v>
      </c>
      <c r="AC52" s="14">
        <f t="shared" si="23"/>
        <v>0</v>
      </c>
      <c r="AD52" s="14">
        <f t="shared" si="24"/>
        <v>0</v>
      </c>
      <c r="AE52" s="14">
        <f t="shared" si="25"/>
        <v>0</v>
      </c>
      <c r="AF52" s="14">
        <f t="shared" si="26"/>
        <v>0</v>
      </c>
      <c r="AG52" s="14">
        <f t="shared" si="27"/>
        <v>0</v>
      </c>
      <c r="AH52" s="14">
        <f t="shared" si="28"/>
        <v>0</v>
      </c>
      <c r="AI52" s="49" t="s">
        <v>19</v>
      </c>
      <c r="AJ52" s="14">
        <f t="shared" si="29"/>
        <v>0</v>
      </c>
      <c r="AK52" s="14">
        <f t="shared" si="30"/>
        <v>0</v>
      </c>
      <c r="AL52" s="14">
        <f t="shared" si="31"/>
        <v>0</v>
      </c>
      <c r="AN52" s="14">
        <v>21</v>
      </c>
      <c r="AO52" s="14">
        <f t="shared" si="32"/>
        <v>0</v>
      </c>
      <c r="AP52" s="14">
        <f t="shared" si="33"/>
        <v>0</v>
      </c>
      <c r="AQ52" s="65" t="s">
        <v>168</v>
      </c>
      <c r="AV52" s="14">
        <f t="shared" si="34"/>
        <v>0</v>
      </c>
      <c r="AW52" s="14">
        <f t="shared" si="35"/>
        <v>0</v>
      </c>
      <c r="AX52" s="14">
        <f t="shared" si="36"/>
        <v>0</v>
      </c>
      <c r="AY52" s="65" t="s">
        <v>265</v>
      </c>
      <c r="AZ52" s="65" t="s">
        <v>266</v>
      </c>
      <c r="BA52" s="49" t="s">
        <v>174</v>
      </c>
      <c r="BC52" s="14">
        <f t="shared" si="37"/>
        <v>0</v>
      </c>
      <c r="BD52" s="14">
        <f t="shared" si="38"/>
        <v>0</v>
      </c>
      <c r="BE52" s="14">
        <v>0</v>
      </c>
      <c r="BF52" s="14">
        <f>52</f>
        <v>52</v>
      </c>
      <c r="BH52" s="14">
        <f t="shared" si="39"/>
        <v>0</v>
      </c>
      <c r="BI52" s="14">
        <f t="shared" si="40"/>
        <v>0</v>
      </c>
      <c r="BJ52" s="14">
        <f t="shared" si="41"/>
        <v>0</v>
      </c>
      <c r="BK52" s="14"/>
      <c r="BL52" s="14">
        <v>91</v>
      </c>
      <c r="BW52" s="14">
        <v>21</v>
      </c>
      <c r="BX52" s="3" t="s">
        <v>272</v>
      </c>
    </row>
    <row r="53" spans="1:76" x14ac:dyDescent="0.25">
      <c r="A53" s="1" t="s">
        <v>273</v>
      </c>
      <c r="B53" s="2" t="s">
        <v>19</v>
      </c>
      <c r="C53" s="2" t="s">
        <v>274</v>
      </c>
      <c r="D53" s="81" t="s">
        <v>275</v>
      </c>
      <c r="E53" s="74"/>
      <c r="F53" s="2" t="s">
        <v>264</v>
      </c>
      <c r="G53" s="14">
        <v>15.3</v>
      </c>
      <c r="H53" s="64">
        <v>0</v>
      </c>
      <c r="I53" s="14">
        <f t="shared" si="20"/>
        <v>0</v>
      </c>
      <c r="K53" s="54"/>
      <c r="Z53" s="14">
        <f t="shared" si="21"/>
        <v>0</v>
      </c>
      <c r="AB53" s="14">
        <f t="shared" si="22"/>
        <v>0</v>
      </c>
      <c r="AC53" s="14">
        <f t="shared" si="23"/>
        <v>0</v>
      </c>
      <c r="AD53" s="14">
        <f t="shared" si="24"/>
        <v>0</v>
      </c>
      <c r="AE53" s="14">
        <f t="shared" si="25"/>
        <v>0</v>
      </c>
      <c r="AF53" s="14">
        <f t="shared" si="26"/>
        <v>0</v>
      </c>
      <c r="AG53" s="14">
        <f t="shared" si="27"/>
        <v>0</v>
      </c>
      <c r="AH53" s="14">
        <f t="shared" si="28"/>
        <v>0</v>
      </c>
      <c r="AI53" s="49" t="s">
        <v>19</v>
      </c>
      <c r="AJ53" s="14">
        <f t="shared" si="29"/>
        <v>0</v>
      </c>
      <c r="AK53" s="14">
        <f t="shared" si="30"/>
        <v>0</v>
      </c>
      <c r="AL53" s="14">
        <f t="shared" si="31"/>
        <v>0</v>
      </c>
      <c r="AN53" s="14">
        <v>21</v>
      </c>
      <c r="AO53" s="14">
        <f t="shared" si="32"/>
        <v>0</v>
      </c>
      <c r="AP53" s="14">
        <f t="shared" si="33"/>
        <v>0</v>
      </c>
      <c r="AQ53" s="65" t="s">
        <v>168</v>
      </c>
      <c r="AV53" s="14">
        <f t="shared" si="34"/>
        <v>0</v>
      </c>
      <c r="AW53" s="14">
        <f t="shared" si="35"/>
        <v>0</v>
      </c>
      <c r="AX53" s="14">
        <f t="shared" si="36"/>
        <v>0</v>
      </c>
      <c r="AY53" s="65" t="s">
        <v>265</v>
      </c>
      <c r="AZ53" s="65" t="s">
        <v>266</v>
      </c>
      <c r="BA53" s="49" t="s">
        <v>174</v>
      </c>
      <c r="BC53" s="14">
        <f t="shared" si="37"/>
        <v>0</v>
      </c>
      <c r="BD53" s="14">
        <f t="shared" si="38"/>
        <v>0</v>
      </c>
      <c r="BE53" s="14">
        <v>0</v>
      </c>
      <c r="BF53" s="14">
        <f>53</f>
        <v>53</v>
      </c>
      <c r="BH53" s="14">
        <f t="shared" si="39"/>
        <v>0</v>
      </c>
      <c r="BI53" s="14">
        <f t="shared" si="40"/>
        <v>0</v>
      </c>
      <c r="BJ53" s="14">
        <f t="shared" si="41"/>
        <v>0</v>
      </c>
      <c r="BK53" s="14"/>
      <c r="BL53" s="14">
        <v>91</v>
      </c>
      <c r="BW53" s="14">
        <v>21</v>
      </c>
      <c r="BX53" s="3" t="s">
        <v>275</v>
      </c>
    </row>
    <row r="54" spans="1:76" ht="25.5" x14ac:dyDescent="0.25">
      <c r="A54" s="1" t="s">
        <v>276</v>
      </c>
      <c r="B54" s="2" t="s">
        <v>19</v>
      </c>
      <c r="C54" s="2" t="s">
        <v>277</v>
      </c>
      <c r="D54" s="81" t="s">
        <v>278</v>
      </c>
      <c r="E54" s="74"/>
      <c r="F54" s="2" t="s">
        <v>264</v>
      </c>
      <c r="G54" s="14">
        <v>19</v>
      </c>
      <c r="H54" s="64">
        <v>0</v>
      </c>
      <c r="I54" s="14">
        <f t="shared" si="20"/>
        <v>0</v>
      </c>
      <c r="K54" s="54"/>
      <c r="Z54" s="14">
        <f t="shared" si="21"/>
        <v>0</v>
      </c>
      <c r="AB54" s="14">
        <f t="shared" si="22"/>
        <v>0</v>
      </c>
      <c r="AC54" s="14">
        <f t="shared" si="23"/>
        <v>0</v>
      </c>
      <c r="AD54" s="14">
        <f t="shared" si="24"/>
        <v>0</v>
      </c>
      <c r="AE54" s="14">
        <f t="shared" si="25"/>
        <v>0</v>
      </c>
      <c r="AF54" s="14">
        <f t="shared" si="26"/>
        <v>0</v>
      </c>
      <c r="AG54" s="14">
        <f t="shared" si="27"/>
        <v>0</v>
      </c>
      <c r="AH54" s="14">
        <f t="shared" si="28"/>
        <v>0</v>
      </c>
      <c r="AI54" s="49" t="s">
        <v>19</v>
      </c>
      <c r="AJ54" s="14">
        <f t="shared" si="29"/>
        <v>0</v>
      </c>
      <c r="AK54" s="14">
        <f t="shared" si="30"/>
        <v>0</v>
      </c>
      <c r="AL54" s="14">
        <f t="shared" si="31"/>
        <v>0</v>
      </c>
      <c r="AN54" s="14">
        <v>21</v>
      </c>
      <c r="AO54" s="14">
        <f t="shared" si="32"/>
        <v>0</v>
      </c>
      <c r="AP54" s="14">
        <f t="shared" si="33"/>
        <v>0</v>
      </c>
      <c r="AQ54" s="65" t="s">
        <v>168</v>
      </c>
      <c r="AV54" s="14">
        <f t="shared" si="34"/>
        <v>0</v>
      </c>
      <c r="AW54" s="14">
        <f t="shared" si="35"/>
        <v>0</v>
      </c>
      <c r="AX54" s="14">
        <f t="shared" si="36"/>
        <v>0</v>
      </c>
      <c r="AY54" s="65" t="s">
        <v>265</v>
      </c>
      <c r="AZ54" s="65" t="s">
        <v>266</v>
      </c>
      <c r="BA54" s="49" t="s">
        <v>174</v>
      </c>
      <c r="BC54" s="14">
        <f t="shared" si="37"/>
        <v>0</v>
      </c>
      <c r="BD54" s="14">
        <f t="shared" si="38"/>
        <v>0</v>
      </c>
      <c r="BE54" s="14">
        <v>0</v>
      </c>
      <c r="BF54" s="14">
        <f>54</f>
        <v>54</v>
      </c>
      <c r="BH54" s="14">
        <f t="shared" si="39"/>
        <v>0</v>
      </c>
      <c r="BI54" s="14">
        <f t="shared" si="40"/>
        <v>0</v>
      </c>
      <c r="BJ54" s="14">
        <f t="shared" si="41"/>
        <v>0</v>
      </c>
      <c r="BK54" s="14"/>
      <c r="BL54" s="14">
        <v>91</v>
      </c>
      <c r="BW54" s="14">
        <v>21</v>
      </c>
      <c r="BX54" s="3" t="s">
        <v>278</v>
      </c>
    </row>
    <row r="55" spans="1:76" x14ac:dyDescent="0.25">
      <c r="A55" s="1" t="s">
        <v>279</v>
      </c>
      <c r="B55" s="2" t="s">
        <v>19</v>
      </c>
      <c r="C55" s="2" t="s">
        <v>280</v>
      </c>
      <c r="D55" s="81" t="s">
        <v>281</v>
      </c>
      <c r="E55" s="74"/>
      <c r="F55" s="2" t="s">
        <v>264</v>
      </c>
      <c r="G55" s="14">
        <v>19</v>
      </c>
      <c r="H55" s="64">
        <v>0</v>
      </c>
      <c r="I55" s="14">
        <f t="shared" si="20"/>
        <v>0</v>
      </c>
      <c r="K55" s="54"/>
      <c r="Z55" s="14">
        <f t="shared" si="21"/>
        <v>0</v>
      </c>
      <c r="AB55" s="14">
        <f t="shared" si="22"/>
        <v>0</v>
      </c>
      <c r="AC55" s="14">
        <f t="shared" si="23"/>
        <v>0</v>
      </c>
      <c r="AD55" s="14">
        <f t="shared" si="24"/>
        <v>0</v>
      </c>
      <c r="AE55" s="14">
        <f t="shared" si="25"/>
        <v>0</v>
      </c>
      <c r="AF55" s="14">
        <f t="shared" si="26"/>
        <v>0</v>
      </c>
      <c r="AG55" s="14">
        <f t="shared" si="27"/>
        <v>0</v>
      </c>
      <c r="AH55" s="14">
        <f t="shared" si="28"/>
        <v>0</v>
      </c>
      <c r="AI55" s="49" t="s">
        <v>19</v>
      </c>
      <c r="AJ55" s="14">
        <f t="shared" si="29"/>
        <v>0</v>
      </c>
      <c r="AK55" s="14">
        <f t="shared" si="30"/>
        <v>0</v>
      </c>
      <c r="AL55" s="14">
        <f t="shared" si="31"/>
        <v>0</v>
      </c>
      <c r="AN55" s="14">
        <v>21</v>
      </c>
      <c r="AO55" s="14">
        <f t="shared" si="32"/>
        <v>0</v>
      </c>
      <c r="AP55" s="14">
        <f t="shared" si="33"/>
        <v>0</v>
      </c>
      <c r="AQ55" s="65" t="s">
        <v>168</v>
      </c>
      <c r="AV55" s="14">
        <f t="shared" si="34"/>
        <v>0</v>
      </c>
      <c r="AW55" s="14">
        <f t="shared" si="35"/>
        <v>0</v>
      </c>
      <c r="AX55" s="14">
        <f t="shared" si="36"/>
        <v>0</v>
      </c>
      <c r="AY55" s="65" t="s">
        <v>265</v>
      </c>
      <c r="AZ55" s="65" t="s">
        <v>266</v>
      </c>
      <c r="BA55" s="49" t="s">
        <v>174</v>
      </c>
      <c r="BC55" s="14">
        <f t="shared" si="37"/>
        <v>0</v>
      </c>
      <c r="BD55" s="14">
        <f t="shared" si="38"/>
        <v>0</v>
      </c>
      <c r="BE55" s="14">
        <v>0</v>
      </c>
      <c r="BF55" s="14">
        <f>55</f>
        <v>55</v>
      </c>
      <c r="BH55" s="14">
        <f t="shared" si="39"/>
        <v>0</v>
      </c>
      <c r="BI55" s="14">
        <f t="shared" si="40"/>
        <v>0</v>
      </c>
      <c r="BJ55" s="14">
        <f t="shared" si="41"/>
        <v>0</v>
      </c>
      <c r="BK55" s="14"/>
      <c r="BL55" s="14">
        <v>91</v>
      </c>
      <c r="BW55" s="14">
        <v>21</v>
      </c>
      <c r="BX55" s="3" t="s">
        <v>281</v>
      </c>
    </row>
    <row r="56" spans="1:76" ht="25.5" x14ac:dyDescent="0.25">
      <c r="A56" s="1" t="s">
        <v>282</v>
      </c>
      <c r="B56" s="2" t="s">
        <v>19</v>
      </c>
      <c r="C56" s="2" t="s">
        <v>283</v>
      </c>
      <c r="D56" s="81" t="s">
        <v>284</v>
      </c>
      <c r="E56" s="74"/>
      <c r="F56" s="2" t="s">
        <v>171</v>
      </c>
      <c r="G56" s="14">
        <v>3.8</v>
      </c>
      <c r="H56" s="64">
        <v>0</v>
      </c>
      <c r="I56" s="14">
        <f t="shared" si="20"/>
        <v>0</v>
      </c>
      <c r="K56" s="54"/>
      <c r="Z56" s="14">
        <f t="shared" si="21"/>
        <v>0</v>
      </c>
      <c r="AB56" s="14">
        <f t="shared" si="22"/>
        <v>0</v>
      </c>
      <c r="AC56" s="14">
        <f t="shared" si="23"/>
        <v>0</v>
      </c>
      <c r="AD56" s="14">
        <f t="shared" si="24"/>
        <v>0</v>
      </c>
      <c r="AE56" s="14">
        <f t="shared" si="25"/>
        <v>0</v>
      </c>
      <c r="AF56" s="14">
        <f t="shared" si="26"/>
        <v>0</v>
      </c>
      <c r="AG56" s="14">
        <f t="shared" si="27"/>
        <v>0</v>
      </c>
      <c r="AH56" s="14">
        <f t="shared" si="28"/>
        <v>0</v>
      </c>
      <c r="AI56" s="49" t="s">
        <v>19</v>
      </c>
      <c r="AJ56" s="14">
        <f t="shared" si="29"/>
        <v>0</v>
      </c>
      <c r="AK56" s="14">
        <f t="shared" si="30"/>
        <v>0</v>
      </c>
      <c r="AL56" s="14">
        <f t="shared" si="31"/>
        <v>0</v>
      </c>
      <c r="AN56" s="14">
        <v>21</v>
      </c>
      <c r="AO56" s="14">
        <f t="shared" si="32"/>
        <v>0</v>
      </c>
      <c r="AP56" s="14">
        <f t="shared" si="33"/>
        <v>0</v>
      </c>
      <c r="AQ56" s="65" t="s">
        <v>168</v>
      </c>
      <c r="AV56" s="14">
        <f t="shared" si="34"/>
        <v>0</v>
      </c>
      <c r="AW56" s="14">
        <f t="shared" si="35"/>
        <v>0</v>
      </c>
      <c r="AX56" s="14">
        <f t="shared" si="36"/>
        <v>0</v>
      </c>
      <c r="AY56" s="65" t="s">
        <v>265</v>
      </c>
      <c r="AZ56" s="65" t="s">
        <v>266</v>
      </c>
      <c r="BA56" s="49" t="s">
        <v>174</v>
      </c>
      <c r="BC56" s="14">
        <f t="shared" si="37"/>
        <v>0</v>
      </c>
      <c r="BD56" s="14">
        <f t="shared" si="38"/>
        <v>0</v>
      </c>
      <c r="BE56" s="14">
        <v>0</v>
      </c>
      <c r="BF56" s="14">
        <f>56</f>
        <v>56</v>
      </c>
      <c r="BH56" s="14">
        <f t="shared" si="39"/>
        <v>0</v>
      </c>
      <c r="BI56" s="14">
        <f t="shared" si="40"/>
        <v>0</v>
      </c>
      <c r="BJ56" s="14">
        <f t="shared" si="41"/>
        <v>0</v>
      </c>
      <c r="BK56" s="14"/>
      <c r="BL56" s="14">
        <v>91</v>
      </c>
      <c r="BW56" s="14">
        <v>21</v>
      </c>
      <c r="BX56" s="3" t="s">
        <v>284</v>
      </c>
    </row>
    <row r="57" spans="1:76" x14ac:dyDescent="0.25">
      <c r="A57" s="1" t="s">
        <v>285</v>
      </c>
      <c r="B57" s="2" t="s">
        <v>19</v>
      </c>
      <c r="C57" s="2" t="s">
        <v>286</v>
      </c>
      <c r="D57" s="81" t="s">
        <v>287</v>
      </c>
      <c r="E57" s="74"/>
      <c r="F57" s="2" t="s">
        <v>217</v>
      </c>
      <c r="G57" s="14">
        <v>3.7999999999999999E-2</v>
      </c>
      <c r="H57" s="64">
        <v>0</v>
      </c>
      <c r="I57" s="14">
        <f t="shared" si="20"/>
        <v>0</v>
      </c>
      <c r="K57" s="54"/>
      <c r="Z57" s="14">
        <f t="shared" si="21"/>
        <v>0</v>
      </c>
      <c r="AB57" s="14">
        <f t="shared" si="22"/>
        <v>0</v>
      </c>
      <c r="AC57" s="14">
        <f t="shared" si="23"/>
        <v>0</v>
      </c>
      <c r="AD57" s="14">
        <f t="shared" si="24"/>
        <v>0</v>
      </c>
      <c r="AE57" s="14">
        <f t="shared" si="25"/>
        <v>0</v>
      </c>
      <c r="AF57" s="14">
        <f t="shared" si="26"/>
        <v>0</v>
      </c>
      <c r="AG57" s="14">
        <f t="shared" si="27"/>
        <v>0</v>
      </c>
      <c r="AH57" s="14">
        <f t="shared" si="28"/>
        <v>0</v>
      </c>
      <c r="AI57" s="49" t="s">
        <v>19</v>
      </c>
      <c r="AJ57" s="14">
        <f t="shared" si="29"/>
        <v>0</v>
      </c>
      <c r="AK57" s="14">
        <f t="shared" si="30"/>
        <v>0</v>
      </c>
      <c r="AL57" s="14">
        <f t="shared" si="31"/>
        <v>0</v>
      </c>
      <c r="AN57" s="14">
        <v>21</v>
      </c>
      <c r="AO57" s="14">
        <f t="shared" si="32"/>
        <v>0</v>
      </c>
      <c r="AP57" s="14">
        <f t="shared" si="33"/>
        <v>0</v>
      </c>
      <c r="AQ57" s="65" t="s">
        <v>168</v>
      </c>
      <c r="AV57" s="14">
        <f t="shared" si="34"/>
        <v>0</v>
      </c>
      <c r="AW57" s="14">
        <f t="shared" si="35"/>
        <v>0</v>
      </c>
      <c r="AX57" s="14">
        <f t="shared" si="36"/>
        <v>0</v>
      </c>
      <c r="AY57" s="65" t="s">
        <v>265</v>
      </c>
      <c r="AZ57" s="65" t="s">
        <v>266</v>
      </c>
      <c r="BA57" s="49" t="s">
        <v>174</v>
      </c>
      <c r="BC57" s="14">
        <f t="shared" si="37"/>
        <v>0</v>
      </c>
      <c r="BD57" s="14">
        <f t="shared" si="38"/>
        <v>0</v>
      </c>
      <c r="BE57" s="14">
        <v>0</v>
      </c>
      <c r="BF57" s="14">
        <f>57</f>
        <v>57</v>
      </c>
      <c r="BH57" s="14">
        <f t="shared" si="39"/>
        <v>0</v>
      </c>
      <c r="BI57" s="14">
        <f t="shared" si="40"/>
        <v>0</v>
      </c>
      <c r="BJ57" s="14">
        <f t="shared" si="41"/>
        <v>0</v>
      </c>
      <c r="BK57" s="14"/>
      <c r="BL57" s="14">
        <v>91</v>
      </c>
      <c r="BW57" s="14">
        <v>21</v>
      </c>
      <c r="BX57" s="3" t="s">
        <v>287</v>
      </c>
    </row>
    <row r="58" spans="1:76" x14ac:dyDescent="0.25">
      <c r="A58" s="60" t="s">
        <v>20</v>
      </c>
      <c r="B58" s="61" t="s">
        <v>19</v>
      </c>
      <c r="C58" s="61" t="s">
        <v>40</v>
      </c>
      <c r="D58" s="162" t="s">
        <v>41</v>
      </c>
      <c r="E58" s="163"/>
      <c r="F58" s="62" t="s">
        <v>13</v>
      </c>
      <c r="G58" s="62" t="s">
        <v>13</v>
      </c>
      <c r="H58" s="63" t="s">
        <v>13</v>
      </c>
      <c r="I58" s="43">
        <f>SUM(I59:I59)</f>
        <v>0</v>
      </c>
      <c r="K58" s="54"/>
      <c r="AI58" s="49" t="s">
        <v>19</v>
      </c>
      <c r="AS58" s="43">
        <f>SUM(AJ59:AJ59)</f>
        <v>0</v>
      </c>
      <c r="AT58" s="43">
        <f>SUM(AK59:AK59)</f>
        <v>0</v>
      </c>
      <c r="AU58" s="43">
        <f>SUM(AL59:AL59)</f>
        <v>0</v>
      </c>
    </row>
    <row r="59" spans="1:76" ht="25.5" x14ac:dyDescent="0.25">
      <c r="A59" s="1" t="s">
        <v>288</v>
      </c>
      <c r="B59" s="2" t="s">
        <v>19</v>
      </c>
      <c r="C59" s="2" t="s">
        <v>289</v>
      </c>
      <c r="D59" s="81" t="s">
        <v>290</v>
      </c>
      <c r="E59" s="74"/>
      <c r="F59" s="2" t="s">
        <v>217</v>
      </c>
      <c r="G59" s="14">
        <v>15.48</v>
      </c>
      <c r="H59" s="64">
        <v>0</v>
      </c>
      <c r="I59" s="14">
        <f>G59*H59</f>
        <v>0</v>
      </c>
      <c r="K59" s="54"/>
      <c r="Z59" s="14">
        <f>IF(AQ59="5",BJ59,0)</f>
        <v>0</v>
      </c>
      <c r="AB59" s="14">
        <f>IF(AQ59="1",BH59,0)</f>
        <v>0</v>
      </c>
      <c r="AC59" s="14">
        <f>IF(AQ59="1",BI59,0)</f>
        <v>0</v>
      </c>
      <c r="AD59" s="14">
        <f>IF(AQ59="7",BH59,0)</f>
        <v>0</v>
      </c>
      <c r="AE59" s="14">
        <f>IF(AQ59="7",BI59,0)</f>
        <v>0</v>
      </c>
      <c r="AF59" s="14">
        <f>IF(AQ59="2",BH59,0)</f>
        <v>0</v>
      </c>
      <c r="AG59" s="14">
        <f>IF(AQ59="2",BI59,0)</f>
        <v>0</v>
      </c>
      <c r="AH59" s="14">
        <f>IF(AQ59="0",BJ59,0)</f>
        <v>0</v>
      </c>
      <c r="AI59" s="49" t="s">
        <v>19</v>
      </c>
      <c r="AJ59" s="14">
        <f>IF(AN59=0,I59,0)</f>
        <v>0</v>
      </c>
      <c r="AK59" s="14">
        <f>IF(AN59=12,I59,0)</f>
        <v>0</v>
      </c>
      <c r="AL59" s="14">
        <f>IF(AN59=21,I59,0)</f>
        <v>0</v>
      </c>
      <c r="AN59" s="14">
        <v>21</v>
      </c>
      <c r="AO59" s="14">
        <f>H59*0</f>
        <v>0</v>
      </c>
      <c r="AP59" s="14">
        <f>H59*(1-0)</f>
        <v>0</v>
      </c>
      <c r="AQ59" s="65" t="s">
        <v>168</v>
      </c>
      <c r="AV59" s="14">
        <f>AW59+AX59</f>
        <v>0</v>
      </c>
      <c r="AW59" s="14">
        <f>G59*AO59</f>
        <v>0</v>
      </c>
      <c r="AX59" s="14">
        <f>G59*AP59</f>
        <v>0</v>
      </c>
      <c r="AY59" s="65" t="s">
        <v>291</v>
      </c>
      <c r="AZ59" s="65" t="s">
        <v>266</v>
      </c>
      <c r="BA59" s="49" t="s">
        <v>174</v>
      </c>
      <c r="BC59" s="14">
        <f>AW59+AX59</f>
        <v>0</v>
      </c>
      <c r="BD59" s="14">
        <f>H59/(100-BE59)*100</f>
        <v>0</v>
      </c>
      <c r="BE59" s="14">
        <v>0</v>
      </c>
      <c r="BF59" s="14">
        <f>59</f>
        <v>59</v>
      </c>
      <c r="BH59" s="14">
        <f>G59*AO59</f>
        <v>0</v>
      </c>
      <c r="BI59" s="14">
        <f>G59*AP59</f>
        <v>0</v>
      </c>
      <c r="BJ59" s="14">
        <f>G59*H59</f>
        <v>0</v>
      </c>
      <c r="BK59" s="14"/>
      <c r="BL59" s="14">
        <v>99</v>
      </c>
      <c r="BW59" s="14">
        <v>21</v>
      </c>
      <c r="BX59" s="3" t="s">
        <v>290</v>
      </c>
    </row>
    <row r="60" spans="1:76" x14ac:dyDescent="0.25">
      <c r="A60" s="60" t="s">
        <v>20</v>
      </c>
      <c r="B60" s="61" t="s">
        <v>19</v>
      </c>
      <c r="C60" s="61" t="s">
        <v>42</v>
      </c>
      <c r="D60" s="162" t="s">
        <v>43</v>
      </c>
      <c r="E60" s="163"/>
      <c r="F60" s="62" t="s">
        <v>13</v>
      </c>
      <c r="G60" s="62" t="s">
        <v>13</v>
      </c>
      <c r="H60" s="63" t="s">
        <v>13</v>
      </c>
      <c r="I60" s="43">
        <f>SUM(I61:I66)</f>
        <v>0</v>
      </c>
      <c r="K60" s="54"/>
      <c r="AI60" s="49" t="s">
        <v>19</v>
      </c>
      <c r="AS60" s="43">
        <f>SUM(AJ61:AJ66)</f>
        <v>0</v>
      </c>
      <c r="AT60" s="43">
        <f>SUM(AK61:AK66)</f>
        <v>0</v>
      </c>
      <c r="AU60" s="43">
        <f>SUM(AL61:AL66)</f>
        <v>0</v>
      </c>
    </row>
    <row r="61" spans="1:76" ht="25.5" x14ac:dyDescent="0.25">
      <c r="A61" s="1" t="s">
        <v>292</v>
      </c>
      <c r="B61" s="2" t="s">
        <v>19</v>
      </c>
      <c r="C61" s="2" t="s">
        <v>293</v>
      </c>
      <c r="D61" s="81" t="s">
        <v>294</v>
      </c>
      <c r="E61" s="74"/>
      <c r="F61" s="2" t="s">
        <v>217</v>
      </c>
      <c r="G61" s="14">
        <v>4.5049999999999999</v>
      </c>
      <c r="H61" s="64">
        <v>0</v>
      </c>
      <c r="I61" s="14">
        <f t="shared" ref="I61:I66" si="42">G61*H61</f>
        <v>0</v>
      </c>
      <c r="K61" s="54"/>
      <c r="Z61" s="14">
        <f t="shared" ref="Z61:Z66" si="43">IF(AQ61="5",BJ61,0)</f>
        <v>0</v>
      </c>
      <c r="AB61" s="14">
        <f t="shared" ref="AB61:AB66" si="44">IF(AQ61="1",BH61,0)</f>
        <v>0</v>
      </c>
      <c r="AC61" s="14">
        <f t="shared" ref="AC61:AC66" si="45">IF(AQ61="1",BI61,0)</f>
        <v>0</v>
      </c>
      <c r="AD61" s="14">
        <f t="shared" ref="AD61:AD66" si="46">IF(AQ61="7",BH61,0)</f>
        <v>0</v>
      </c>
      <c r="AE61" s="14">
        <f t="shared" ref="AE61:AE66" si="47">IF(AQ61="7",BI61,0)</f>
        <v>0</v>
      </c>
      <c r="AF61" s="14">
        <f t="shared" ref="AF61:AF66" si="48">IF(AQ61="2",BH61,0)</f>
        <v>0</v>
      </c>
      <c r="AG61" s="14">
        <f t="shared" ref="AG61:AG66" si="49">IF(AQ61="2",BI61,0)</f>
        <v>0</v>
      </c>
      <c r="AH61" s="14">
        <f t="shared" ref="AH61:AH66" si="50">IF(AQ61="0",BJ61,0)</f>
        <v>0</v>
      </c>
      <c r="AI61" s="49" t="s">
        <v>19</v>
      </c>
      <c r="AJ61" s="14">
        <f t="shared" ref="AJ61:AJ66" si="51">IF(AN61=0,I61,0)</f>
        <v>0</v>
      </c>
      <c r="AK61" s="14">
        <f t="shared" ref="AK61:AK66" si="52">IF(AN61=12,I61,0)</f>
        <v>0</v>
      </c>
      <c r="AL61" s="14">
        <f t="shared" ref="AL61:AL66" si="53">IF(AN61=21,I61,0)</f>
        <v>0</v>
      </c>
      <c r="AN61" s="14">
        <v>21</v>
      </c>
      <c r="AO61" s="14">
        <f t="shared" ref="AO61:AO66" si="54">H61*0</f>
        <v>0</v>
      </c>
      <c r="AP61" s="14">
        <f t="shared" ref="AP61:AP66" si="55">H61*(1-0)</f>
        <v>0</v>
      </c>
      <c r="AQ61" s="65" t="s">
        <v>168</v>
      </c>
      <c r="AV61" s="14">
        <f t="shared" ref="AV61:AV66" si="56">AW61+AX61</f>
        <v>0</v>
      </c>
      <c r="AW61" s="14">
        <f t="shared" ref="AW61:AW66" si="57">G61*AO61</f>
        <v>0</v>
      </c>
      <c r="AX61" s="14">
        <f t="shared" ref="AX61:AX66" si="58">G61*AP61</f>
        <v>0</v>
      </c>
      <c r="AY61" s="65" t="s">
        <v>295</v>
      </c>
      <c r="AZ61" s="65" t="s">
        <v>266</v>
      </c>
      <c r="BA61" s="49" t="s">
        <v>174</v>
      </c>
      <c r="BC61" s="14">
        <f t="shared" ref="BC61:BC66" si="59">AW61+AX61</f>
        <v>0</v>
      </c>
      <c r="BD61" s="14">
        <f t="shared" ref="BD61:BD66" si="60">H61/(100-BE61)*100</f>
        <v>0</v>
      </c>
      <c r="BE61" s="14">
        <v>0</v>
      </c>
      <c r="BF61" s="14">
        <f>61</f>
        <v>61</v>
      </c>
      <c r="BH61" s="14">
        <f t="shared" ref="BH61:BH66" si="61">G61*AO61</f>
        <v>0</v>
      </c>
      <c r="BI61" s="14">
        <f t="shared" ref="BI61:BI66" si="62">G61*AP61</f>
        <v>0</v>
      </c>
      <c r="BJ61" s="14">
        <f t="shared" ref="BJ61:BJ66" si="63">G61*H61</f>
        <v>0</v>
      </c>
      <c r="BK61" s="14"/>
      <c r="BL61" s="14"/>
      <c r="BW61" s="14">
        <v>21</v>
      </c>
      <c r="BX61" s="3" t="s">
        <v>294</v>
      </c>
    </row>
    <row r="62" spans="1:76" ht="25.5" x14ac:dyDescent="0.25">
      <c r="A62" s="1" t="s">
        <v>296</v>
      </c>
      <c r="B62" s="2" t="s">
        <v>19</v>
      </c>
      <c r="C62" s="2" t="s">
        <v>297</v>
      </c>
      <c r="D62" s="81" t="s">
        <v>298</v>
      </c>
      <c r="E62" s="74"/>
      <c r="F62" s="2" t="s">
        <v>217</v>
      </c>
      <c r="G62" s="14">
        <v>58.564999999999998</v>
      </c>
      <c r="H62" s="64">
        <v>0</v>
      </c>
      <c r="I62" s="14">
        <f t="shared" si="42"/>
        <v>0</v>
      </c>
      <c r="K62" s="54"/>
      <c r="Z62" s="14">
        <f t="shared" si="43"/>
        <v>0</v>
      </c>
      <c r="AB62" s="14">
        <f t="shared" si="44"/>
        <v>0</v>
      </c>
      <c r="AC62" s="14">
        <f t="shared" si="45"/>
        <v>0</v>
      </c>
      <c r="AD62" s="14">
        <f t="shared" si="46"/>
        <v>0</v>
      </c>
      <c r="AE62" s="14">
        <f t="shared" si="47"/>
        <v>0</v>
      </c>
      <c r="AF62" s="14">
        <f t="shared" si="48"/>
        <v>0</v>
      </c>
      <c r="AG62" s="14">
        <f t="shared" si="49"/>
        <v>0</v>
      </c>
      <c r="AH62" s="14">
        <f t="shared" si="50"/>
        <v>0</v>
      </c>
      <c r="AI62" s="49" t="s">
        <v>19</v>
      </c>
      <c r="AJ62" s="14">
        <f t="shared" si="51"/>
        <v>0</v>
      </c>
      <c r="AK62" s="14">
        <f t="shared" si="52"/>
        <v>0</v>
      </c>
      <c r="AL62" s="14">
        <f t="shared" si="53"/>
        <v>0</v>
      </c>
      <c r="AN62" s="14">
        <v>21</v>
      </c>
      <c r="AO62" s="14">
        <f t="shared" si="54"/>
        <v>0</v>
      </c>
      <c r="AP62" s="14">
        <f t="shared" si="55"/>
        <v>0</v>
      </c>
      <c r="AQ62" s="65" t="s">
        <v>168</v>
      </c>
      <c r="AV62" s="14">
        <f t="shared" si="56"/>
        <v>0</v>
      </c>
      <c r="AW62" s="14">
        <f t="shared" si="57"/>
        <v>0</v>
      </c>
      <c r="AX62" s="14">
        <f t="shared" si="58"/>
        <v>0</v>
      </c>
      <c r="AY62" s="65" t="s">
        <v>295</v>
      </c>
      <c r="AZ62" s="65" t="s">
        <v>266</v>
      </c>
      <c r="BA62" s="49" t="s">
        <v>174</v>
      </c>
      <c r="BC62" s="14">
        <f t="shared" si="59"/>
        <v>0</v>
      </c>
      <c r="BD62" s="14">
        <f t="shared" si="60"/>
        <v>0</v>
      </c>
      <c r="BE62" s="14">
        <v>0</v>
      </c>
      <c r="BF62" s="14">
        <f>62</f>
        <v>62</v>
      </c>
      <c r="BH62" s="14">
        <f t="shared" si="61"/>
        <v>0</v>
      </c>
      <c r="BI62" s="14">
        <f t="shared" si="62"/>
        <v>0</v>
      </c>
      <c r="BJ62" s="14">
        <f t="shared" si="63"/>
        <v>0</v>
      </c>
      <c r="BK62" s="14"/>
      <c r="BL62" s="14"/>
      <c r="BW62" s="14">
        <v>21</v>
      </c>
      <c r="BX62" s="3" t="s">
        <v>298</v>
      </c>
    </row>
    <row r="63" spans="1:76" x14ac:dyDescent="0.25">
      <c r="A63" s="1" t="s">
        <v>299</v>
      </c>
      <c r="B63" s="2" t="s">
        <v>19</v>
      </c>
      <c r="C63" s="2" t="s">
        <v>300</v>
      </c>
      <c r="D63" s="81" t="s">
        <v>301</v>
      </c>
      <c r="E63" s="74"/>
      <c r="F63" s="2" t="s">
        <v>217</v>
      </c>
      <c r="G63" s="14">
        <v>4.5049999999999999</v>
      </c>
      <c r="H63" s="64">
        <v>0</v>
      </c>
      <c r="I63" s="14">
        <f t="shared" si="42"/>
        <v>0</v>
      </c>
      <c r="K63" s="54"/>
      <c r="Z63" s="14">
        <f t="shared" si="43"/>
        <v>0</v>
      </c>
      <c r="AB63" s="14">
        <f t="shared" si="44"/>
        <v>0</v>
      </c>
      <c r="AC63" s="14">
        <f t="shared" si="45"/>
        <v>0</v>
      </c>
      <c r="AD63" s="14">
        <f t="shared" si="46"/>
        <v>0</v>
      </c>
      <c r="AE63" s="14">
        <f t="shared" si="47"/>
        <v>0</v>
      </c>
      <c r="AF63" s="14">
        <f t="shared" si="48"/>
        <v>0</v>
      </c>
      <c r="AG63" s="14">
        <f t="shared" si="49"/>
        <v>0</v>
      </c>
      <c r="AH63" s="14">
        <f t="shared" si="50"/>
        <v>0</v>
      </c>
      <c r="AI63" s="49" t="s">
        <v>19</v>
      </c>
      <c r="AJ63" s="14">
        <f t="shared" si="51"/>
        <v>0</v>
      </c>
      <c r="AK63" s="14">
        <f t="shared" si="52"/>
        <v>0</v>
      </c>
      <c r="AL63" s="14">
        <f t="shared" si="53"/>
        <v>0</v>
      </c>
      <c r="AN63" s="14">
        <v>21</v>
      </c>
      <c r="AO63" s="14">
        <f t="shared" si="54"/>
        <v>0</v>
      </c>
      <c r="AP63" s="14">
        <f t="shared" si="55"/>
        <v>0</v>
      </c>
      <c r="AQ63" s="65" t="s">
        <v>168</v>
      </c>
      <c r="AV63" s="14">
        <f t="shared" si="56"/>
        <v>0</v>
      </c>
      <c r="AW63" s="14">
        <f t="shared" si="57"/>
        <v>0</v>
      </c>
      <c r="AX63" s="14">
        <f t="shared" si="58"/>
        <v>0</v>
      </c>
      <c r="AY63" s="65" t="s">
        <v>295</v>
      </c>
      <c r="AZ63" s="65" t="s">
        <v>266</v>
      </c>
      <c r="BA63" s="49" t="s">
        <v>174</v>
      </c>
      <c r="BC63" s="14">
        <f t="shared" si="59"/>
        <v>0</v>
      </c>
      <c r="BD63" s="14">
        <f t="shared" si="60"/>
        <v>0</v>
      </c>
      <c r="BE63" s="14">
        <v>0</v>
      </c>
      <c r="BF63" s="14">
        <f>63</f>
        <v>63</v>
      </c>
      <c r="BH63" s="14">
        <f t="shared" si="61"/>
        <v>0</v>
      </c>
      <c r="BI63" s="14">
        <f t="shared" si="62"/>
        <v>0</v>
      </c>
      <c r="BJ63" s="14">
        <f t="shared" si="63"/>
        <v>0</v>
      </c>
      <c r="BK63" s="14"/>
      <c r="BL63" s="14"/>
      <c r="BW63" s="14">
        <v>21</v>
      </c>
      <c r="BX63" s="3" t="s">
        <v>301</v>
      </c>
    </row>
    <row r="64" spans="1:76" ht="25.5" x14ac:dyDescent="0.25">
      <c r="A64" s="1" t="s">
        <v>302</v>
      </c>
      <c r="B64" s="2" t="s">
        <v>19</v>
      </c>
      <c r="C64" s="2" t="s">
        <v>303</v>
      </c>
      <c r="D64" s="81" t="s">
        <v>304</v>
      </c>
      <c r="E64" s="74"/>
      <c r="F64" s="2" t="s">
        <v>217</v>
      </c>
      <c r="G64" s="14">
        <v>0.48</v>
      </c>
      <c r="H64" s="64">
        <v>0</v>
      </c>
      <c r="I64" s="14">
        <f t="shared" si="42"/>
        <v>0</v>
      </c>
      <c r="K64" s="54"/>
      <c r="Z64" s="14">
        <f t="shared" si="43"/>
        <v>0</v>
      </c>
      <c r="AB64" s="14">
        <f t="shared" si="44"/>
        <v>0</v>
      </c>
      <c r="AC64" s="14">
        <f t="shared" si="45"/>
        <v>0</v>
      </c>
      <c r="AD64" s="14">
        <f t="shared" si="46"/>
        <v>0</v>
      </c>
      <c r="AE64" s="14">
        <f t="shared" si="47"/>
        <v>0</v>
      </c>
      <c r="AF64" s="14">
        <f t="shared" si="48"/>
        <v>0</v>
      </c>
      <c r="AG64" s="14">
        <f t="shared" si="49"/>
        <v>0</v>
      </c>
      <c r="AH64" s="14">
        <f t="shared" si="50"/>
        <v>0</v>
      </c>
      <c r="AI64" s="49" t="s">
        <v>19</v>
      </c>
      <c r="AJ64" s="14">
        <f t="shared" si="51"/>
        <v>0</v>
      </c>
      <c r="AK64" s="14">
        <f t="shared" si="52"/>
        <v>0</v>
      </c>
      <c r="AL64" s="14">
        <f t="shared" si="53"/>
        <v>0</v>
      </c>
      <c r="AN64" s="14">
        <v>21</v>
      </c>
      <c r="AO64" s="14">
        <f t="shared" si="54"/>
        <v>0</v>
      </c>
      <c r="AP64" s="14">
        <f t="shared" si="55"/>
        <v>0</v>
      </c>
      <c r="AQ64" s="65" t="s">
        <v>168</v>
      </c>
      <c r="AV64" s="14">
        <f t="shared" si="56"/>
        <v>0</v>
      </c>
      <c r="AW64" s="14">
        <f t="shared" si="57"/>
        <v>0</v>
      </c>
      <c r="AX64" s="14">
        <f t="shared" si="58"/>
        <v>0</v>
      </c>
      <c r="AY64" s="65" t="s">
        <v>295</v>
      </c>
      <c r="AZ64" s="65" t="s">
        <v>266</v>
      </c>
      <c r="BA64" s="49" t="s">
        <v>174</v>
      </c>
      <c r="BC64" s="14">
        <f t="shared" si="59"/>
        <v>0</v>
      </c>
      <c r="BD64" s="14">
        <f t="shared" si="60"/>
        <v>0</v>
      </c>
      <c r="BE64" s="14">
        <v>0</v>
      </c>
      <c r="BF64" s="14">
        <f>64</f>
        <v>64</v>
      </c>
      <c r="BH64" s="14">
        <f t="shared" si="61"/>
        <v>0</v>
      </c>
      <c r="BI64" s="14">
        <f t="shared" si="62"/>
        <v>0</v>
      </c>
      <c r="BJ64" s="14">
        <f t="shared" si="63"/>
        <v>0</v>
      </c>
      <c r="BK64" s="14"/>
      <c r="BL64" s="14"/>
      <c r="BW64" s="14">
        <v>21</v>
      </c>
      <c r="BX64" s="3" t="s">
        <v>304</v>
      </c>
    </row>
    <row r="65" spans="1:76" ht="25.5" x14ac:dyDescent="0.25">
      <c r="A65" s="1" t="s">
        <v>305</v>
      </c>
      <c r="B65" s="2" t="s">
        <v>19</v>
      </c>
      <c r="C65" s="2" t="s">
        <v>306</v>
      </c>
      <c r="D65" s="81" t="s">
        <v>219</v>
      </c>
      <c r="E65" s="74"/>
      <c r="F65" s="2" t="s">
        <v>217</v>
      </c>
      <c r="G65" s="14">
        <v>0.34</v>
      </c>
      <c r="H65" s="64">
        <v>0</v>
      </c>
      <c r="I65" s="14">
        <f t="shared" si="42"/>
        <v>0</v>
      </c>
      <c r="K65" s="54"/>
      <c r="Z65" s="14">
        <f t="shared" si="43"/>
        <v>0</v>
      </c>
      <c r="AB65" s="14">
        <f t="shared" si="44"/>
        <v>0</v>
      </c>
      <c r="AC65" s="14">
        <f t="shared" si="45"/>
        <v>0</v>
      </c>
      <c r="AD65" s="14">
        <f t="shared" si="46"/>
        <v>0</v>
      </c>
      <c r="AE65" s="14">
        <f t="shared" si="47"/>
        <v>0</v>
      </c>
      <c r="AF65" s="14">
        <f t="shared" si="48"/>
        <v>0</v>
      </c>
      <c r="AG65" s="14">
        <f t="shared" si="49"/>
        <v>0</v>
      </c>
      <c r="AH65" s="14">
        <f t="shared" si="50"/>
        <v>0</v>
      </c>
      <c r="AI65" s="49" t="s">
        <v>19</v>
      </c>
      <c r="AJ65" s="14">
        <f t="shared" si="51"/>
        <v>0</v>
      </c>
      <c r="AK65" s="14">
        <f t="shared" si="52"/>
        <v>0</v>
      </c>
      <c r="AL65" s="14">
        <f t="shared" si="53"/>
        <v>0</v>
      </c>
      <c r="AN65" s="14">
        <v>21</v>
      </c>
      <c r="AO65" s="14">
        <f t="shared" si="54"/>
        <v>0</v>
      </c>
      <c r="AP65" s="14">
        <f t="shared" si="55"/>
        <v>0</v>
      </c>
      <c r="AQ65" s="65" t="s">
        <v>168</v>
      </c>
      <c r="AV65" s="14">
        <f t="shared" si="56"/>
        <v>0</v>
      </c>
      <c r="AW65" s="14">
        <f t="shared" si="57"/>
        <v>0</v>
      </c>
      <c r="AX65" s="14">
        <f t="shared" si="58"/>
        <v>0</v>
      </c>
      <c r="AY65" s="65" t="s">
        <v>295</v>
      </c>
      <c r="AZ65" s="65" t="s">
        <v>266</v>
      </c>
      <c r="BA65" s="49" t="s">
        <v>174</v>
      </c>
      <c r="BC65" s="14">
        <f t="shared" si="59"/>
        <v>0</v>
      </c>
      <c r="BD65" s="14">
        <f t="shared" si="60"/>
        <v>0</v>
      </c>
      <c r="BE65" s="14">
        <v>0</v>
      </c>
      <c r="BF65" s="14">
        <f>65</f>
        <v>65</v>
      </c>
      <c r="BH65" s="14">
        <f t="shared" si="61"/>
        <v>0</v>
      </c>
      <c r="BI65" s="14">
        <f t="shared" si="62"/>
        <v>0</v>
      </c>
      <c r="BJ65" s="14">
        <f t="shared" si="63"/>
        <v>0</v>
      </c>
      <c r="BK65" s="14"/>
      <c r="BL65" s="14"/>
      <c r="BW65" s="14">
        <v>21</v>
      </c>
      <c r="BX65" s="3" t="s">
        <v>219</v>
      </c>
    </row>
    <row r="66" spans="1:76" ht="25.5" x14ac:dyDescent="0.25">
      <c r="A66" s="1" t="s">
        <v>307</v>
      </c>
      <c r="B66" s="2" t="s">
        <v>19</v>
      </c>
      <c r="C66" s="2" t="s">
        <v>308</v>
      </c>
      <c r="D66" s="81" t="s">
        <v>309</v>
      </c>
      <c r="E66" s="74"/>
      <c r="F66" s="2" t="s">
        <v>217</v>
      </c>
      <c r="G66" s="14">
        <v>3.6850000000000001</v>
      </c>
      <c r="H66" s="64">
        <v>0</v>
      </c>
      <c r="I66" s="14">
        <f t="shared" si="42"/>
        <v>0</v>
      </c>
      <c r="K66" s="54"/>
      <c r="Z66" s="14">
        <f t="shared" si="43"/>
        <v>0</v>
      </c>
      <c r="AB66" s="14">
        <f t="shared" si="44"/>
        <v>0</v>
      </c>
      <c r="AC66" s="14">
        <f t="shared" si="45"/>
        <v>0</v>
      </c>
      <c r="AD66" s="14">
        <f t="shared" si="46"/>
        <v>0</v>
      </c>
      <c r="AE66" s="14">
        <f t="shared" si="47"/>
        <v>0</v>
      </c>
      <c r="AF66" s="14">
        <f t="shared" si="48"/>
        <v>0</v>
      </c>
      <c r="AG66" s="14">
        <f t="shared" si="49"/>
        <v>0</v>
      </c>
      <c r="AH66" s="14">
        <f t="shared" si="50"/>
        <v>0</v>
      </c>
      <c r="AI66" s="49" t="s">
        <v>19</v>
      </c>
      <c r="AJ66" s="14">
        <f t="shared" si="51"/>
        <v>0</v>
      </c>
      <c r="AK66" s="14">
        <f t="shared" si="52"/>
        <v>0</v>
      </c>
      <c r="AL66" s="14">
        <f t="shared" si="53"/>
        <v>0</v>
      </c>
      <c r="AN66" s="14">
        <v>21</v>
      </c>
      <c r="AO66" s="14">
        <f t="shared" si="54"/>
        <v>0</v>
      </c>
      <c r="AP66" s="14">
        <f t="shared" si="55"/>
        <v>0</v>
      </c>
      <c r="AQ66" s="65" t="s">
        <v>168</v>
      </c>
      <c r="AV66" s="14">
        <f t="shared" si="56"/>
        <v>0</v>
      </c>
      <c r="AW66" s="14">
        <f t="shared" si="57"/>
        <v>0</v>
      </c>
      <c r="AX66" s="14">
        <f t="shared" si="58"/>
        <v>0</v>
      </c>
      <c r="AY66" s="65" t="s">
        <v>295</v>
      </c>
      <c r="AZ66" s="65" t="s">
        <v>266</v>
      </c>
      <c r="BA66" s="49" t="s">
        <v>174</v>
      </c>
      <c r="BC66" s="14">
        <f t="shared" si="59"/>
        <v>0</v>
      </c>
      <c r="BD66" s="14">
        <f t="shared" si="60"/>
        <v>0</v>
      </c>
      <c r="BE66" s="14">
        <v>0</v>
      </c>
      <c r="BF66" s="14">
        <f>66</f>
        <v>66</v>
      </c>
      <c r="BH66" s="14">
        <f t="shared" si="61"/>
        <v>0</v>
      </c>
      <c r="BI66" s="14">
        <f t="shared" si="62"/>
        <v>0</v>
      </c>
      <c r="BJ66" s="14">
        <f t="shared" si="63"/>
        <v>0</v>
      </c>
      <c r="BK66" s="14"/>
      <c r="BL66" s="14"/>
      <c r="BW66" s="14">
        <v>21</v>
      </c>
      <c r="BX66" s="3" t="s">
        <v>309</v>
      </c>
    </row>
    <row r="67" spans="1:76" x14ac:dyDescent="0.25">
      <c r="A67" s="60" t="s">
        <v>20</v>
      </c>
      <c r="B67" s="61" t="s">
        <v>44</v>
      </c>
      <c r="C67" s="61" t="s">
        <v>20</v>
      </c>
      <c r="D67" s="162" t="s">
        <v>45</v>
      </c>
      <c r="E67" s="163"/>
      <c r="F67" s="62" t="s">
        <v>13</v>
      </c>
      <c r="G67" s="62" t="s">
        <v>13</v>
      </c>
      <c r="H67" s="63" t="s">
        <v>13</v>
      </c>
      <c r="I67" s="43">
        <f>I68+I70+I76+I79+I81+I91+I93</f>
        <v>0</v>
      </c>
      <c r="K67" s="54"/>
    </row>
    <row r="68" spans="1:76" x14ac:dyDescent="0.25">
      <c r="A68" s="60" t="s">
        <v>20</v>
      </c>
      <c r="B68" s="61" t="s">
        <v>44</v>
      </c>
      <c r="C68" s="61" t="s">
        <v>26</v>
      </c>
      <c r="D68" s="162" t="s">
        <v>27</v>
      </c>
      <c r="E68" s="163"/>
      <c r="F68" s="62" t="s">
        <v>13</v>
      </c>
      <c r="G68" s="62" t="s">
        <v>13</v>
      </c>
      <c r="H68" s="63" t="s">
        <v>13</v>
      </c>
      <c r="I68" s="43">
        <f>SUM(I69:I69)</f>
        <v>0</v>
      </c>
      <c r="K68" s="54"/>
      <c r="AI68" s="49" t="s">
        <v>44</v>
      </c>
      <c r="AS68" s="43">
        <f>SUM(AJ69:AJ69)</f>
        <v>0</v>
      </c>
      <c r="AT68" s="43">
        <f>SUM(AK69:AK69)</f>
        <v>0</v>
      </c>
      <c r="AU68" s="43">
        <f>SUM(AL69:AL69)</f>
        <v>0</v>
      </c>
    </row>
    <row r="69" spans="1:76" ht="25.5" x14ac:dyDescent="0.25">
      <c r="A69" s="1" t="s">
        <v>310</v>
      </c>
      <c r="B69" s="2" t="s">
        <v>44</v>
      </c>
      <c r="C69" s="2" t="s">
        <v>311</v>
      </c>
      <c r="D69" s="81" t="s">
        <v>189</v>
      </c>
      <c r="E69" s="74"/>
      <c r="F69" s="2" t="s">
        <v>190</v>
      </c>
      <c r="G69" s="14">
        <v>0.57599999999999996</v>
      </c>
      <c r="H69" s="64">
        <v>0</v>
      </c>
      <c r="I69" s="14">
        <f>G69*H69</f>
        <v>0</v>
      </c>
      <c r="K69" s="54"/>
      <c r="Z69" s="14">
        <f>IF(AQ69="5",BJ69,0)</f>
        <v>0</v>
      </c>
      <c r="AB69" s="14">
        <f>IF(AQ69="1",BH69,0)</f>
        <v>0</v>
      </c>
      <c r="AC69" s="14">
        <f>IF(AQ69="1",BI69,0)</f>
        <v>0</v>
      </c>
      <c r="AD69" s="14">
        <f>IF(AQ69="7",BH69,0)</f>
        <v>0</v>
      </c>
      <c r="AE69" s="14">
        <f>IF(AQ69="7",BI69,0)</f>
        <v>0</v>
      </c>
      <c r="AF69" s="14">
        <f>IF(AQ69="2",BH69,0)</f>
        <v>0</v>
      </c>
      <c r="AG69" s="14">
        <f>IF(AQ69="2",BI69,0)</f>
        <v>0</v>
      </c>
      <c r="AH69" s="14">
        <f>IF(AQ69="0",BJ69,0)</f>
        <v>0</v>
      </c>
      <c r="AI69" s="49" t="s">
        <v>44</v>
      </c>
      <c r="AJ69" s="14">
        <f>IF(AN69=0,I69,0)</f>
        <v>0</v>
      </c>
      <c r="AK69" s="14">
        <f>IF(AN69=12,I69,0)</f>
        <v>0</v>
      </c>
      <c r="AL69" s="14">
        <f>IF(AN69=21,I69,0)</f>
        <v>0</v>
      </c>
      <c r="AN69" s="14">
        <v>21</v>
      </c>
      <c r="AO69" s="14">
        <f>H69*0</f>
        <v>0</v>
      </c>
      <c r="AP69" s="14">
        <f>H69*(1-0)</f>
        <v>0</v>
      </c>
      <c r="AQ69" s="65" t="s">
        <v>168</v>
      </c>
      <c r="AV69" s="14">
        <f>AW69+AX69</f>
        <v>0</v>
      </c>
      <c r="AW69" s="14">
        <f>G69*AO69</f>
        <v>0</v>
      </c>
      <c r="AX69" s="14">
        <f>G69*AP69</f>
        <v>0</v>
      </c>
      <c r="AY69" s="65" t="s">
        <v>191</v>
      </c>
      <c r="AZ69" s="65" t="s">
        <v>312</v>
      </c>
      <c r="BA69" s="49" t="s">
        <v>313</v>
      </c>
      <c r="BC69" s="14">
        <f>AW69+AX69</f>
        <v>0</v>
      </c>
      <c r="BD69" s="14">
        <f>H69/(100-BE69)*100</f>
        <v>0</v>
      </c>
      <c r="BE69" s="14">
        <v>0</v>
      </c>
      <c r="BF69" s="14">
        <f>69</f>
        <v>69</v>
      </c>
      <c r="BH69" s="14">
        <f>G69*AO69</f>
        <v>0</v>
      </c>
      <c r="BI69" s="14">
        <f>G69*AP69</f>
        <v>0</v>
      </c>
      <c r="BJ69" s="14">
        <f>G69*H69</f>
        <v>0</v>
      </c>
      <c r="BK69" s="14"/>
      <c r="BL69" s="14">
        <v>12</v>
      </c>
      <c r="BW69" s="14">
        <v>21</v>
      </c>
      <c r="BX69" s="3" t="s">
        <v>189</v>
      </c>
    </row>
    <row r="70" spans="1:76" x14ac:dyDescent="0.25">
      <c r="A70" s="60" t="s">
        <v>20</v>
      </c>
      <c r="B70" s="61" t="s">
        <v>44</v>
      </c>
      <c r="C70" s="61" t="s">
        <v>46</v>
      </c>
      <c r="D70" s="162" t="s">
        <v>47</v>
      </c>
      <c r="E70" s="163"/>
      <c r="F70" s="62" t="s">
        <v>13</v>
      </c>
      <c r="G70" s="62" t="s">
        <v>13</v>
      </c>
      <c r="H70" s="63" t="s">
        <v>13</v>
      </c>
      <c r="I70" s="43">
        <f>SUM(I71:I75)</f>
        <v>0</v>
      </c>
      <c r="K70" s="54"/>
      <c r="AI70" s="49" t="s">
        <v>44</v>
      </c>
      <c r="AS70" s="43">
        <f>SUM(AJ71:AJ75)</f>
        <v>0</v>
      </c>
      <c r="AT70" s="43">
        <f>SUM(AK71:AK75)</f>
        <v>0</v>
      </c>
      <c r="AU70" s="43">
        <f>SUM(AL71:AL75)</f>
        <v>0</v>
      </c>
    </row>
    <row r="71" spans="1:76" ht="25.5" x14ac:dyDescent="0.25">
      <c r="A71" s="1" t="s">
        <v>314</v>
      </c>
      <c r="B71" s="2" t="s">
        <v>44</v>
      </c>
      <c r="C71" s="2" t="s">
        <v>315</v>
      </c>
      <c r="D71" s="81" t="s">
        <v>316</v>
      </c>
      <c r="E71" s="74"/>
      <c r="F71" s="2" t="s">
        <v>190</v>
      </c>
      <c r="G71" s="14">
        <v>0.57599999999999996</v>
      </c>
      <c r="H71" s="64">
        <v>0</v>
      </c>
      <c r="I71" s="14">
        <f>G71*H71</f>
        <v>0</v>
      </c>
      <c r="K71" s="54"/>
      <c r="Z71" s="14">
        <f>IF(AQ71="5",BJ71,0)</f>
        <v>0</v>
      </c>
      <c r="AB71" s="14">
        <f>IF(AQ71="1",BH71,0)</f>
        <v>0</v>
      </c>
      <c r="AC71" s="14">
        <f>IF(AQ71="1",BI71,0)</f>
        <v>0</v>
      </c>
      <c r="AD71" s="14">
        <f>IF(AQ71="7",BH71,0)</f>
        <v>0</v>
      </c>
      <c r="AE71" s="14">
        <f>IF(AQ71="7",BI71,0)</f>
        <v>0</v>
      </c>
      <c r="AF71" s="14">
        <f>IF(AQ71="2",BH71,0)</f>
        <v>0</v>
      </c>
      <c r="AG71" s="14">
        <f>IF(AQ71="2",BI71,0)</f>
        <v>0</v>
      </c>
      <c r="AH71" s="14">
        <f>IF(AQ71="0",BJ71,0)</f>
        <v>0</v>
      </c>
      <c r="AI71" s="49" t="s">
        <v>44</v>
      </c>
      <c r="AJ71" s="14">
        <f>IF(AN71=0,I71,0)</f>
        <v>0</v>
      </c>
      <c r="AK71" s="14">
        <f>IF(AN71=12,I71,0)</f>
        <v>0</v>
      </c>
      <c r="AL71" s="14">
        <f>IF(AN71=21,I71,0)</f>
        <v>0</v>
      </c>
      <c r="AN71" s="14">
        <v>21</v>
      </c>
      <c r="AO71" s="14">
        <f>H71*0</f>
        <v>0</v>
      </c>
      <c r="AP71" s="14">
        <f>H71*(1-0)</f>
        <v>0</v>
      </c>
      <c r="AQ71" s="65" t="s">
        <v>168</v>
      </c>
      <c r="AV71" s="14">
        <f>AW71+AX71</f>
        <v>0</v>
      </c>
      <c r="AW71" s="14">
        <f>G71*AO71</f>
        <v>0</v>
      </c>
      <c r="AX71" s="14">
        <f>G71*AP71</f>
        <v>0</v>
      </c>
      <c r="AY71" s="65" t="s">
        <v>317</v>
      </c>
      <c r="AZ71" s="65" t="s">
        <v>312</v>
      </c>
      <c r="BA71" s="49" t="s">
        <v>313</v>
      </c>
      <c r="BC71" s="14">
        <f>AW71+AX71</f>
        <v>0</v>
      </c>
      <c r="BD71" s="14">
        <f>H71/(100-BE71)*100</f>
        <v>0</v>
      </c>
      <c r="BE71" s="14">
        <v>0</v>
      </c>
      <c r="BF71" s="14">
        <f>71</f>
        <v>71</v>
      </c>
      <c r="BH71" s="14">
        <f>G71*AO71</f>
        <v>0</v>
      </c>
      <c r="BI71" s="14">
        <f>G71*AP71</f>
        <v>0</v>
      </c>
      <c r="BJ71" s="14">
        <f>G71*H71</f>
        <v>0</v>
      </c>
      <c r="BK71" s="14"/>
      <c r="BL71" s="14">
        <v>13</v>
      </c>
      <c r="BW71" s="14">
        <v>21</v>
      </c>
      <c r="BX71" s="3" t="s">
        <v>316</v>
      </c>
    </row>
    <row r="72" spans="1:76" ht="25.5" x14ac:dyDescent="0.25">
      <c r="A72" s="1" t="s">
        <v>318</v>
      </c>
      <c r="B72" s="2" t="s">
        <v>44</v>
      </c>
      <c r="C72" s="2" t="s">
        <v>199</v>
      </c>
      <c r="D72" s="81" t="s">
        <v>200</v>
      </c>
      <c r="E72" s="74"/>
      <c r="F72" s="2" t="s">
        <v>190</v>
      </c>
      <c r="G72" s="14">
        <v>0.57599999999999996</v>
      </c>
      <c r="H72" s="64">
        <v>0</v>
      </c>
      <c r="I72" s="14">
        <f>G72*H72</f>
        <v>0</v>
      </c>
      <c r="K72" s="54"/>
      <c r="Z72" s="14">
        <f>IF(AQ72="5",BJ72,0)</f>
        <v>0</v>
      </c>
      <c r="AB72" s="14">
        <f>IF(AQ72="1",BH72,0)</f>
        <v>0</v>
      </c>
      <c r="AC72" s="14">
        <f>IF(AQ72="1",BI72,0)</f>
        <v>0</v>
      </c>
      <c r="AD72" s="14">
        <f>IF(AQ72="7",BH72,0)</f>
        <v>0</v>
      </c>
      <c r="AE72" s="14">
        <f>IF(AQ72="7",BI72,0)</f>
        <v>0</v>
      </c>
      <c r="AF72" s="14">
        <f>IF(AQ72="2",BH72,0)</f>
        <v>0</v>
      </c>
      <c r="AG72" s="14">
        <f>IF(AQ72="2",BI72,0)</f>
        <v>0</v>
      </c>
      <c r="AH72" s="14">
        <f>IF(AQ72="0",BJ72,0)</f>
        <v>0</v>
      </c>
      <c r="AI72" s="49" t="s">
        <v>44</v>
      </c>
      <c r="AJ72" s="14">
        <f>IF(AN72=0,I72,0)</f>
        <v>0</v>
      </c>
      <c r="AK72" s="14">
        <f>IF(AN72=12,I72,0)</f>
        <v>0</v>
      </c>
      <c r="AL72" s="14">
        <f>IF(AN72=21,I72,0)</f>
        <v>0</v>
      </c>
      <c r="AN72" s="14">
        <v>21</v>
      </c>
      <c r="AO72" s="14">
        <f>H72*0</f>
        <v>0</v>
      </c>
      <c r="AP72" s="14">
        <f>H72*(1-0)</f>
        <v>0</v>
      </c>
      <c r="AQ72" s="65" t="s">
        <v>168</v>
      </c>
      <c r="AV72" s="14">
        <f>AW72+AX72</f>
        <v>0</v>
      </c>
      <c r="AW72" s="14">
        <f>G72*AO72</f>
        <v>0</v>
      </c>
      <c r="AX72" s="14">
        <f>G72*AP72</f>
        <v>0</v>
      </c>
      <c r="AY72" s="65" t="s">
        <v>317</v>
      </c>
      <c r="AZ72" s="65" t="s">
        <v>312</v>
      </c>
      <c r="BA72" s="49" t="s">
        <v>313</v>
      </c>
      <c r="BC72" s="14">
        <f>AW72+AX72</f>
        <v>0</v>
      </c>
      <c r="BD72" s="14">
        <f>H72/(100-BE72)*100</f>
        <v>0</v>
      </c>
      <c r="BE72" s="14">
        <v>0</v>
      </c>
      <c r="BF72" s="14">
        <f>72</f>
        <v>72</v>
      </c>
      <c r="BH72" s="14">
        <f>G72*AO72</f>
        <v>0</v>
      </c>
      <c r="BI72" s="14">
        <f>G72*AP72</f>
        <v>0</v>
      </c>
      <c r="BJ72" s="14">
        <f>G72*H72</f>
        <v>0</v>
      </c>
      <c r="BK72" s="14"/>
      <c r="BL72" s="14">
        <v>13</v>
      </c>
      <c r="BW72" s="14">
        <v>21</v>
      </c>
      <c r="BX72" s="3" t="s">
        <v>200</v>
      </c>
    </row>
    <row r="73" spans="1:76" ht="25.5" x14ac:dyDescent="0.25">
      <c r="A73" s="1" t="s">
        <v>319</v>
      </c>
      <c r="B73" s="2" t="s">
        <v>44</v>
      </c>
      <c r="C73" s="2" t="s">
        <v>203</v>
      </c>
      <c r="D73" s="81" t="s">
        <v>200</v>
      </c>
      <c r="E73" s="74"/>
      <c r="F73" s="2" t="s">
        <v>190</v>
      </c>
      <c r="G73" s="14">
        <v>2.3039999999999998</v>
      </c>
      <c r="H73" s="64">
        <v>0</v>
      </c>
      <c r="I73" s="14">
        <f>G73*H73</f>
        <v>0</v>
      </c>
      <c r="K73" s="54"/>
      <c r="Z73" s="14">
        <f>IF(AQ73="5",BJ73,0)</f>
        <v>0</v>
      </c>
      <c r="AB73" s="14">
        <f>IF(AQ73="1",BH73,0)</f>
        <v>0</v>
      </c>
      <c r="AC73" s="14">
        <f>IF(AQ73="1",BI73,0)</f>
        <v>0</v>
      </c>
      <c r="AD73" s="14">
        <f>IF(AQ73="7",BH73,0)</f>
        <v>0</v>
      </c>
      <c r="AE73" s="14">
        <f>IF(AQ73="7",BI73,0)</f>
        <v>0</v>
      </c>
      <c r="AF73" s="14">
        <f>IF(AQ73="2",BH73,0)</f>
        <v>0</v>
      </c>
      <c r="AG73" s="14">
        <f>IF(AQ73="2",BI73,0)</f>
        <v>0</v>
      </c>
      <c r="AH73" s="14">
        <f>IF(AQ73="0",BJ73,0)</f>
        <v>0</v>
      </c>
      <c r="AI73" s="49" t="s">
        <v>44</v>
      </c>
      <c r="AJ73" s="14">
        <f>IF(AN73=0,I73,0)</f>
        <v>0</v>
      </c>
      <c r="AK73" s="14">
        <f>IF(AN73=12,I73,0)</f>
        <v>0</v>
      </c>
      <c r="AL73" s="14">
        <f>IF(AN73=21,I73,0)</f>
        <v>0</v>
      </c>
      <c r="AN73" s="14">
        <v>21</v>
      </c>
      <c r="AO73" s="14">
        <f>H73*0</f>
        <v>0</v>
      </c>
      <c r="AP73" s="14">
        <f>H73*(1-0)</f>
        <v>0</v>
      </c>
      <c r="AQ73" s="65" t="s">
        <v>168</v>
      </c>
      <c r="AV73" s="14">
        <f>AW73+AX73</f>
        <v>0</v>
      </c>
      <c r="AW73" s="14">
        <f>G73*AO73</f>
        <v>0</v>
      </c>
      <c r="AX73" s="14">
        <f>G73*AP73</f>
        <v>0</v>
      </c>
      <c r="AY73" s="65" t="s">
        <v>317</v>
      </c>
      <c r="AZ73" s="65" t="s">
        <v>312</v>
      </c>
      <c r="BA73" s="49" t="s">
        <v>313</v>
      </c>
      <c r="BC73" s="14">
        <f>AW73+AX73</f>
        <v>0</v>
      </c>
      <c r="BD73" s="14">
        <f>H73/(100-BE73)*100</f>
        <v>0</v>
      </c>
      <c r="BE73" s="14">
        <v>0</v>
      </c>
      <c r="BF73" s="14">
        <f>73</f>
        <v>73</v>
      </c>
      <c r="BH73" s="14">
        <f>G73*AO73</f>
        <v>0</v>
      </c>
      <c r="BI73" s="14">
        <f>G73*AP73</f>
        <v>0</v>
      </c>
      <c r="BJ73" s="14">
        <f>G73*H73</f>
        <v>0</v>
      </c>
      <c r="BK73" s="14"/>
      <c r="BL73" s="14">
        <v>13</v>
      </c>
      <c r="BW73" s="14">
        <v>21</v>
      </c>
      <c r="BX73" s="3" t="s">
        <v>200</v>
      </c>
    </row>
    <row r="74" spans="1:76" ht="25.5" x14ac:dyDescent="0.25">
      <c r="A74" s="1" t="s">
        <v>320</v>
      </c>
      <c r="B74" s="2" t="s">
        <v>44</v>
      </c>
      <c r="C74" s="2" t="s">
        <v>321</v>
      </c>
      <c r="D74" s="81" t="s">
        <v>322</v>
      </c>
      <c r="E74" s="74"/>
      <c r="F74" s="2" t="s">
        <v>190</v>
      </c>
      <c r="G74" s="14">
        <v>0.57599999999999996</v>
      </c>
      <c r="H74" s="64">
        <v>0</v>
      </c>
      <c r="I74" s="14">
        <f>G74*H74</f>
        <v>0</v>
      </c>
      <c r="K74" s="54"/>
      <c r="Z74" s="14">
        <f>IF(AQ74="5",BJ74,0)</f>
        <v>0</v>
      </c>
      <c r="AB74" s="14">
        <f>IF(AQ74="1",BH74,0)</f>
        <v>0</v>
      </c>
      <c r="AC74" s="14">
        <f>IF(AQ74="1",BI74,0)</f>
        <v>0</v>
      </c>
      <c r="AD74" s="14">
        <f>IF(AQ74="7",BH74,0)</f>
        <v>0</v>
      </c>
      <c r="AE74" s="14">
        <f>IF(AQ74="7",BI74,0)</f>
        <v>0</v>
      </c>
      <c r="AF74" s="14">
        <f>IF(AQ74="2",BH74,0)</f>
        <v>0</v>
      </c>
      <c r="AG74" s="14">
        <f>IF(AQ74="2",BI74,0)</f>
        <v>0</v>
      </c>
      <c r="AH74" s="14">
        <f>IF(AQ74="0",BJ74,0)</f>
        <v>0</v>
      </c>
      <c r="AI74" s="49" t="s">
        <v>44</v>
      </c>
      <c r="AJ74" s="14">
        <f>IF(AN74=0,I74,0)</f>
        <v>0</v>
      </c>
      <c r="AK74" s="14">
        <f>IF(AN74=12,I74,0)</f>
        <v>0</v>
      </c>
      <c r="AL74" s="14">
        <f>IF(AN74=21,I74,0)</f>
        <v>0</v>
      </c>
      <c r="AN74" s="14">
        <v>21</v>
      </c>
      <c r="AO74" s="14">
        <f>H74*0</f>
        <v>0</v>
      </c>
      <c r="AP74" s="14">
        <f>H74*(1-0)</f>
        <v>0</v>
      </c>
      <c r="AQ74" s="65" t="s">
        <v>168</v>
      </c>
      <c r="AV74" s="14">
        <f>AW74+AX74</f>
        <v>0</v>
      </c>
      <c r="AW74" s="14">
        <f>G74*AO74</f>
        <v>0</v>
      </c>
      <c r="AX74" s="14">
        <f>G74*AP74</f>
        <v>0</v>
      </c>
      <c r="AY74" s="65" t="s">
        <v>317</v>
      </c>
      <c r="AZ74" s="65" t="s">
        <v>312</v>
      </c>
      <c r="BA74" s="49" t="s">
        <v>313</v>
      </c>
      <c r="BC74" s="14">
        <f>AW74+AX74</f>
        <v>0</v>
      </c>
      <c r="BD74" s="14">
        <f>H74/(100-BE74)*100</f>
        <v>0</v>
      </c>
      <c r="BE74" s="14">
        <v>0</v>
      </c>
      <c r="BF74" s="14">
        <f>74</f>
        <v>74</v>
      </c>
      <c r="BH74" s="14">
        <f>G74*AO74</f>
        <v>0</v>
      </c>
      <c r="BI74" s="14">
        <f>G74*AP74</f>
        <v>0</v>
      </c>
      <c r="BJ74" s="14">
        <f>G74*H74</f>
        <v>0</v>
      </c>
      <c r="BK74" s="14"/>
      <c r="BL74" s="14">
        <v>13</v>
      </c>
      <c r="BW74" s="14">
        <v>21</v>
      </c>
      <c r="BX74" s="3" t="s">
        <v>322</v>
      </c>
    </row>
    <row r="75" spans="1:76" ht="25.5" x14ac:dyDescent="0.25">
      <c r="A75" s="1" t="s">
        <v>323</v>
      </c>
      <c r="B75" s="2" t="s">
        <v>44</v>
      </c>
      <c r="C75" s="2" t="s">
        <v>206</v>
      </c>
      <c r="D75" s="81" t="s">
        <v>207</v>
      </c>
      <c r="E75" s="74"/>
      <c r="F75" s="2" t="s">
        <v>190</v>
      </c>
      <c r="G75" s="14">
        <v>0.57599999999999996</v>
      </c>
      <c r="H75" s="64">
        <v>0</v>
      </c>
      <c r="I75" s="14">
        <f>G75*H75</f>
        <v>0</v>
      </c>
      <c r="K75" s="54"/>
      <c r="Z75" s="14">
        <f>IF(AQ75="5",BJ75,0)</f>
        <v>0</v>
      </c>
      <c r="AB75" s="14">
        <f>IF(AQ75="1",BH75,0)</f>
        <v>0</v>
      </c>
      <c r="AC75" s="14">
        <f>IF(AQ75="1",BI75,0)</f>
        <v>0</v>
      </c>
      <c r="AD75" s="14">
        <f>IF(AQ75="7",BH75,0)</f>
        <v>0</v>
      </c>
      <c r="AE75" s="14">
        <f>IF(AQ75="7",BI75,0)</f>
        <v>0</v>
      </c>
      <c r="AF75" s="14">
        <f>IF(AQ75="2",BH75,0)</f>
        <v>0</v>
      </c>
      <c r="AG75" s="14">
        <f>IF(AQ75="2",BI75,0)</f>
        <v>0</v>
      </c>
      <c r="AH75" s="14">
        <f>IF(AQ75="0",BJ75,0)</f>
        <v>0</v>
      </c>
      <c r="AI75" s="49" t="s">
        <v>44</v>
      </c>
      <c r="AJ75" s="14">
        <f>IF(AN75=0,I75,0)</f>
        <v>0</v>
      </c>
      <c r="AK75" s="14">
        <f>IF(AN75=12,I75,0)</f>
        <v>0</v>
      </c>
      <c r="AL75" s="14">
        <f>IF(AN75=21,I75,0)</f>
        <v>0</v>
      </c>
      <c r="AN75" s="14">
        <v>21</v>
      </c>
      <c r="AO75" s="14">
        <f>H75*0</f>
        <v>0</v>
      </c>
      <c r="AP75" s="14">
        <f>H75*(1-0)</f>
        <v>0</v>
      </c>
      <c r="AQ75" s="65" t="s">
        <v>168</v>
      </c>
      <c r="AV75" s="14">
        <f>AW75+AX75</f>
        <v>0</v>
      </c>
      <c r="AW75" s="14">
        <f>G75*AO75</f>
        <v>0</v>
      </c>
      <c r="AX75" s="14">
        <f>G75*AP75</f>
        <v>0</v>
      </c>
      <c r="AY75" s="65" t="s">
        <v>317</v>
      </c>
      <c r="AZ75" s="65" t="s">
        <v>312</v>
      </c>
      <c r="BA75" s="49" t="s">
        <v>313</v>
      </c>
      <c r="BC75" s="14">
        <f>AW75+AX75</f>
        <v>0</v>
      </c>
      <c r="BD75" s="14">
        <f>H75/(100-BE75)*100</f>
        <v>0</v>
      </c>
      <c r="BE75" s="14">
        <v>0</v>
      </c>
      <c r="BF75" s="14">
        <f>75</f>
        <v>75</v>
      </c>
      <c r="BH75" s="14">
        <f>G75*AO75</f>
        <v>0</v>
      </c>
      <c r="BI75" s="14">
        <f>G75*AP75</f>
        <v>0</v>
      </c>
      <c r="BJ75" s="14">
        <f>G75*H75</f>
        <v>0</v>
      </c>
      <c r="BK75" s="14"/>
      <c r="BL75" s="14">
        <v>13</v>
      </c>
      <c r="BW75" s="14">
        <v>21</v>
      </c>
      <c r="BX75" s="3" t="s">
        <v>207</v>
      </c>
    </row>
    <row r="76" spans="1:76" x14ac:dyDescent="0.25">
      <c r="A76" s="60" t="s">
        <v>20</v>
      </c>
      <c r="B76" s="61" t="s">
        <v>44</v>
      </c>
      <c r="C76" s="61" t="s">
        <v>30</v>
      </c>
      <c r="D76" s="162" t="s">
        <v>31</v>
      </c>
      <c r="E76" s="163"/>
      <c r="F76" s="62" t="s">
        <v>13</v>
      </c>
      <c r="G76" s="62" t="s">
        <v>13</v>
      </c>
      <c r="H76" s="63" t="s">
        <v>13</v>
      </c>
      <c r="I76" s="43">
        <f>SUM(I77:I78)</f>
        <v>0</v>
      </c>
      <c r="K76" s="54"/>
      <c r="AI76" s="49" t="s">
        <v>44</v>
      </c>
      <c r="AS76" s="43">
        <f>SUM(AJ77:AJ78)</f>
        <v>0</v>
      </c>
      <c r="AT76" s="43">
        <f>SUM(AK77:AK78)</f>
        <v>0</v>
      </c>
      <c r="AU76" s="43">
        <f>SUM(AL77:AL78)</f>
        <v>0</v>
      </c>
    </row>
    <row r="77" spans="1:76" ht="25.5" x14ac:dyDescent="0.25">
      <c r="A77" s="1" t="s">
        <v>324</v>
      </c>
      <c r="B77" s="2" t="s">
        <v>44</v>
      </c>
      <c r="C77" s="2" t="s">
        <v>208</v>
      </c>
      <c r="D77" s="81" t="s">
        <v>209</v>
      </c>
      <c r="E77" s="74"/>
      <c r="F77" s="2" t="s">
        <v>190</v>
      </c>
      <c r="G77" s="14">
        <v>0.57599999999999996</v>
      </c>
      <c r="H77" s="64">
        <v>0</v>
      </c>
      <c r="I77" s="14">
        <f>G77*H77</f>
        <v>0</v>
      </c>
      <c r="K77" s="54"/>
      <c r="Z77" s="14">
        <f>IF(AQ77="5",BJ77,0)</f>
        <v>0</v>
      </c>
      <c r="AB77" s="14">
        <f>IF(AQ77="1",BH77,0)</f>
        <v>0</v>
      </c>
      <c r="AC77" s="14">
        <f>IF(AQ77="1",BI77,0)</f>
        <v>0</v>
      </c>
      <c r="AD77" s="14">
        <f>IF(AQ77="7",BH77,0)</f>
        <v>0</v>
      </c>
      <c r="AE77" s="14">
        <f>IF(AQ77="7",BI77,0)</f>
        <v>0</v>
      </c>
      <c r="AF77" s="14">
        <f>IF(AQ77="2",BH77,0)</f>
        <v>0</v>
      </c>
      <c r="AG77" s="14">
        <f>IF(AQ77="2",BI77,0)</f>
        <v>0</v>
      </c>
      <c r="AH77" s="14">
        <f>IF(AQ77="0",BJ77,0)</f>
        <v>0</v>
      </c>
      <c r="AI77" s="49" t="s">
        <v>44</v>
      </c>
      <c r="AJ77" s="14">
        <f>IF(AN77=0,I77,0)</f>
        <v>0</v>
      </c>
      <c r="AK77" s="14">
        <f>IF(AN77=12,I77,0)</f>
        <v>0</v>
      </c>
      <c r="AL77" s="14">
        <f>IF(AN77=21,I77,0)</f>
        <v>0</v>
      </c>
      <c r="AN77" s="14">
        <v>21</v>
      </c>
      <c r="AO77" s="14">
        <f>H77*0</f>
        <v>0</v>
      </c>
      <c r="AP77" s="14">
        <f>H77*(1-0)</f>
        <v>0</v>
      </c>
      <c r="AQ77" s="65" t="s">
        <v>168</v>
      </c>
      <c r="AV77" s="14">
        <f>AW77+AX77</f>
        <v>0</v>
      </c>
      <c r="AW77" s="14">
        <f>G77*AO77</f>
        <v>0</v>
      </c>
      <c r="AX77" s="14">
        <f>G77*AP77</f>
        <v>0</v>
      </c>
      <c r="AY77" s="65" t="s">
        <v>210</v>
      </c>
      <c r="AZ77" s="65" t="s">
        <v>312</v>
      </c>
      <c r="BA77" s="49" t="s">
        <v>313</v>
      </c>
      <c r="BC77" s="14">
        <f>AW77+AX77</f>
        <v>0</v>
      </c>
      <c r="BD77" s="14">
        <f>H77/(100-BE77)*100</f>
        <v>0</v>
      </c>
      <c r="BE77" s="14">
        <v>0</v>
      </c>
      <c r="BF77" s="14">
        <f>77</f>
        <v>77</v>
      </c>
      <c r="BH77" s="14">
        <f>G77*AO77</f>
        <v>0</v>
      </c>
      <c r="BI77" s="14">
        <f>G77*AP77</f>
        <v>0</v>
      </c>
      <c r="BJ77" s="14">
        <f>G77*H77</f>
        <v>0</v>
      </c>
      <c r="BK77" s="14"/>
      <c r="BL77" s="14">
        <v>17</v>
      </c>
      <c r="BW77" s="14">
        <v>21</v>
      </c>
      <c r="BX77" s="3" t="s">
        <v>209</v>
      </c>
    </row>
    <row r="78" spans="1:76" ht="25.5" x14ac:dyDescent="0.25">
      <c r="A78" s="1" t="s">
        <v>325</v>
      </c>
      <c r="B78" s="2" t="s">
        <v>44</v>
      </c>
      <c r="C78" s="2" t="s">
        <v>218</v>
      </c>
      <c r="D78" s="81" t="s">
        <v>219</v>
      </c>
      <c r="E78" s="74"/>
      <c r="F78" s="2" t="s">
        <v>217</v>
      </c>
      <c r="G78" s="14">
        <v>1.0940000000000001</v>
      </c>
      <c r="H78" s="64">
        <v>0</v>
      </c>
      <c r="I78" s="14">
        <f>G78*H78</f>
        <v>0</v>
      </c>
      <c r="K78" s="54"/>
      <c r="Z78" s="14">
        <f>IF(AQ78="5",BJ78,0)</f>
        <v>0</v>
      </c>
      <c r="AB78" s="14">
        <f>IF(AQ78="1",BH78,0)</f>
        <v>0</v>
      </c>
      <c r="AC78" s="14">
        <f>IF(AQ78="1",BI78,0)</f>
        <v>0</v>
      </c>
      <c r="AD78" s="14">
        <f>IF(AQ78="7",BH78,0)</f>
        <v>0</v>
      </c>
      <c r="AE78" s="14">
        <f>IF(AQ78="7",BI78,0)</f>
        <v>0</v>
      </c>
      <c r="AF78" s="14">
        <f>IF(AQ78="2",BH78,0)</f>
        <v>0</v>
      </c>
      <c r="AG78" s="14">
        <f>IF(AQ78="2",BI78,0)</f>
        <v>0</v>
      </c>
      <c r="AH78" s="14">
        <f>IF(AQ78="0",BJ78,0)</f>
        <v>0</v>
      </c>
      <c r="AI78" s="49" t="s">
        <v>44</v>
      </c>
      <c r="AJ78" s="14">
        <f>IF(AN78=0,I78,0)</f>
        <v>0</v>
      </c>
      <c r="AK78" s="14">
        <f>IF(AN78=12,I78,0)</f>
        <v>0</v>
      </c>
      <c r="AL78" s="14">
        <f>IF(AN78=21,I78,0)</f>
        <v>0</v>
      </c>
      <c r="AN78" s="14">
        <v>21</v>
      </c>
      <c r="AO78" s="14">
        <f>H78*0</f>
        <v>0</v>
      </c>
      <c r="AP78" s="14">
        <f>H78*(1-0)</f>
        <v>0</v>
      </c>
      <c r="AQ78" s="65" t="s">
        <v>168</v>
      </c>
      <c r="AV78" s="14">
        <f>AW78+AX78</f>
        <v>0</v>
      </c>
      <c r="AW78" s="14">
        <f>G78*AO78</f>
        <v>0</v>
      </c>
      <c r="AX78" s="14">
        <f>G78*AP78</f>
        <v>0</v>
      </c>
      <c r="AY78" s="65" t="s">
        <v>210</v>
      </c>
      <c r="AZ78" s="65" t="s">
        <v>312</v>
      </c>
      <c r="BA78" s="49" t="s">
        <v>313</v>
      </c>
      <c r="BC78" s="14">
        <f>AW78+AX78</f>
        <v>0</v>
      </c>
      <c r="BD78" s="14">
        <f>H78/(100-BE78)*100</f>
        <v>0</v>
      </c>
      <c r="BE78" s="14">
        <v>0</v>
      </c>
      <c r="BF78" s="14">
        <f>78</f>
        <v>78</v>
      </c>
      <c r="BH78" s="14">
        <f>G78*AO78</f>
        <v>0</v>
      </c>
      <c r="BI78" s="14">
        <f>G78*AP78</f>
        <v>0</v>
      </c>
      <c r="BJ78" s="14">
        <f>G78*H78</f>
        <v>0</v>
      </c>
      <c r="BK78" s="14"/>
      <c r="BL78" s="14">
        <v>17</v>
      </c>
      <c r="BW78" s="14">
        <v>21</v>
      </c>
      <c r="BX78" s="3" t="s">
        <v>219</v>
      </c>
    </row>
    <row r="79" spans="1:76" x14ac:dyDescent="0.25">
      <c r="A79" s="60" t="s">
        <v>20</v>
      </c>
      <c r="B79" s="61" t="s">
        <v>44</v>
      </c>
      <c r="C79" s="61" t="s">
        <v>34</v>
      </c>
      <c r="D79" s="162" t="s">
        <v>35</v>
      </c>
      <c r="E79" s="163"/>
      <c r="F79" s="62" t="s">
        <v>13</v>
      </c>
      <c r="G79" s="62" t="s">
        <v>13</v>
      </c>
      <c r="H79" s="63" t="s">
        <v>13</v>
      </c>
      <c r="I79" s="43">
        <f>SUM(I80:I80)</f>
        <v>0</v>
      </c>
      <c r="K79" s="54"/>
      <c r="AI79" s="49" t="s">
        <v>44</v>
      </c>
      <c r="AS79" s="43">
        <f>SUM(AJ80:AJ80)</f>
        <v>0</v>
      </c>
      <c r="AT79" s="43">
        <f>SUM(AK80:AK80)</f>
        <v>0</v>
      </c>
      <c r="AU79" s="43">
        <f>SUM(AL80:AL80)</f>
        <v>0</v>
      </c>
    </row>
    <row r="80" spans="1:76" x14ac:dyDescent="0.25">
      <c r="A80" s="1" t="s">
        <v>326</v>
      </c>
      <c r="B80" s="2" t="s">
        <v>44</v>
      </c>
      <c r="C80" s="2" t="s">
        <v>327</v>
      </c>
      <c r="D80" s="81" t="s">
        <v>328</v>
      </c>
      <c r="E80" s="74"/>
      <c r="F80" s="2" t="s">
        <v>190</v>
      </c>
      <c r="G80" s="14">
        <v>0.63400000000000001</v>
      </c>
      <c r="H80" s="64">
        <v>0</v>
      </c>
      <c r="I80" s="14">
        <f>G80*H80</f>
        <v>0</v>
      </c>
      <c r="K80" s="54"/>
      <c r="Z80" s="14">
        <f>IF(AQ80="5",BJ80,0)</f>
        <v>0</v>
      </c>
      <c r="AB80" s="14">
        <f>IF(AQ80="1",BH80,0)</f>
        <v>0</v>
      </c>
      <c r="AC80" s="14">
        <f>IF(AQ80="1",BI80,0)</f>
        <v>0</v>
      </c>
      <c r="AD80" s="14">
        <f>IF(AQ80="7",BH80,0)</f>
        <v>0</v>
      </c>
      <c r="AE80" s="14">
        <f>IF(AQ80="7",BI80,0)</f>
        <v>0</v>
      </c>
      <c r="AF80" s="14">
        <f>IF(AQ80="2",BH80,0)</f>
        <v>0</v>
      </c>
      <c r="AG80" s="14">
        <f>IF(AQ80="2",BI80,0)</f>
        <v>0</v>
      </c>
      <c r="AH80" s="14">
        <f>IF(AQ80="0",BJ80,0)</f>
        <v>0</v>
      </c>
      <c r="AI80" s="49" t="s">
        <v>44</v>
      </c>
      <c r="AJ80" s="14">
        <f>IF(AN80=0,I80,0)</f>
        <v>0</v>
      </c>
      <c r="AK80" s="14">
        <f>IF(AN80=12,I80,0)</f>
        <v>0</v>
      </c>
      <c r="AL80" s="14">
        <f>IF(AN80=21,I80,0)</f>
        <v>0</v>
      </c>
      <c r="AN80" s="14">
        <v>21</v>
      </c>
      <c r="AO80" s="14">
        <f>H80*0</f>
        <v>0</v>
      </c>
      <c r="AP80" s="14">
        <f>H80*(1-0)</f>
        <v>0</v>
      </c>
      <c r="AQ80" s="65" t="s">
        <v>168</v>
      </c>
      <c r="AV80" s="14">
        <f>AW80+AX80</f>
        <v>0</v>
      </c>
      <c r="AW80" s="14">
        <f>G80*AO80</f>
        <v>0</v>
      </c>
      <c r="AX80" s="14">
        <f>G80*AP80</f>
        <v>0</v>
      </c>
      <c r="AY80" s="65" t="s">
        <v>246</v>
      </c>
      <c r="AZ80" s="65" t="s">
        <v>329</v>
      </c>
      <c r="BA80" s="49" t="s">
        <v>313</v>
      </c>
      <c r="BC80" s="14">
        <f>AW80+AX80</f>
        <v>0</v>
      </c>
      <c r="BD80" s="14">
        <f>H80/(100-BE80)*100</f>
        <v>0</v>
      </c>
      <c r="BE80" s="14">
        <v>0</v>
      </c>
      <c r="BF80" s="14">
        <f>80</f>
        <v>80</v>
      </c>
      <c r="BH80" s="14">
        <f>G80*AO80</f>
        <v>0</v>
      </c>
      <c r="BI80" s="14">
        <f>G80*AP80</f>
        <v>0</v>
      </c>
      <c r="BJ80" s="14">
        <f>G80*H80</f>
        <v>0</v>
      </c>
      <c r="BK80" s="14"/>
      <c r="BL80" s="14">
        <v>27</v>
      </c>
      <c r="BW80" s="14">
        <v>21</v>
      </c>
      <c r="BX80" s="3" t="s">
        <v>328</v>
      </c>
    </row>
    <row r="81" spans="1:76" x14ac:dyDescent="0.25">
      <c r="A81" s="60" t="s">
        <v>20</v>
      </c>
      <c r="B81" s="61" t="s">
        <v>44</v>
      </c>
      <c r="C81" s="61" t="s">
        <v>38</v>
      </c>
      <c r="D81" s="162" t="s">
        <v>39</v>
      </c>
      <c r="E81" s="163"/>
      <c r="F81" s="62" t="s">
        <v>13</v>
      </c>
      <c r="G81" s="62" t="s">
        <v>13</v>
      </c>
      <c r="H81" s="63" t="s">
        <v>13</v>
      </c>
      <c r="I81" s="43">
        <f>SUM(I82:I90)</f>
        <v>0</v>
      </c>
      <c r="K81" s="54"/>
      <c r="AI81" s="49" t="s">
        <v>44</v>
      </c>
      <c r="AS81" s="43">
        <f>SUM(AJ82:AJ90)</f>
        <v>0</v>
      </c>
      <c r="AT81" s="43">
        <f>SUM(AK82:AK90)</f>
        <v>0</v>
      </c>
      <c r="AU81" s="43">
        <f>SUM(AL82:AL90)</f>
        <v>0</v>
      </c>
    </row>
    <row r="82" spans="1:76" ht="25.5" x14ac:dyDescent="0.25">
      <c r="A82" s="1" t="s">
        <v>330</v>
      </c>
      <c r="B82" s="2" t="s">
        <v>44</v>
      </c>
      <c r="C82" s="2" t="s">
        <v>331</v>
      </c>
      <c r="D82" s="81" t="s">
        <v>332</v>
      </c>
      <c r="E82" s="74"/>
      <c r="F82" s="2" t="s">
        <v>333</v>
      </c>
      <c r="G82" s="14">
        <v>2</v>
      </c>
      <c r="H82" s="64">
        <v>0</v>
      </c>
      <c r="I82" s="14">
        <f t="shared" ref="I82:I90" si="64">G82*H82</f>
        <v>0</v>
      </c>
      <c r="K82" s="54"/>
      <c r="Z82" s="14">
        <f t="shared" ref="Z82:Z90" si="65">IF(AQ82="5",BJ82,0)</f>
        <v>0</v>
      </c>
      <c r="AB82" s="14">
        <f t="shared" ref="AB82:AB90" si="66">IF(AQ82="1",BH82,0)</f>
        <v>0</v>
      </c>
      <c r="AC82" s="14">
        <f t="shared" ref="AC82:AC90" si="67">IF(AQ82="1",BI82,0)</f>
        <v>0</v>
      </c>
      <c r="AD82" s="14">
        <f t="shared" ref="AD82:AD90" si="68">IF(AQ82="7",BH82,0)</f>
        <v>0</v>
      </c>
      <c r="AE82" s="14">
        <f t="shared" ref="AE82:AE90" si="69">IF(AQ82="7",BI82,0)</f>
        <v>0</v>
      </c>
      <c r="AF82" s="14">
        <f t="shared" ref="AF82:AF90" si="70">IF(AQ82="2",BH82,0)</f>
        <v>0</v>
      </c>
      <c r="AG82" s="14">
        <f t="shared" ref="AG82:AG90" si="71">IF(AQ82="2",BI82,0)</f>
        <v>0</v>
      </c>
      <c r="AH82" s="14">
        <f t="shared" ref="AH82:AH90" si="72">IF(AQ82="0",BJ82,0)</f>
        <v>0</v>
      </c>
      <c r="AI82" s="49" t="s">
        <v>44</v>
      </c>
      <c r="AJ82" s="14">
        <f t="shared" ref="AJ82:AJ90" si="73">IF(AN82=0,I82,0)</f>
        <v>0</v>
      </c>
      <c r="AK82" s="14">
        <f t="shared" ref="AK82:AK90" si="74">IF(AN82=12,I82,0)</f>
        <v>0</v>
      </c>
      <c r="AL82" s="14">
        <f t="shared" ref="AL82:AL90" si="75">IF(AN82=21,I82,0)</f>
        <v>0</v>
      </c>
      <c r="AN82" s="14">
        <v>21</v>
      </c>
      <c r="AO82" s="14">
        <f>H82*0</f>
        <v>0</v>
      </c>
      <c r="AP82" s="14">
        <f>H82*(1-0)</f>
        <v>0</v>
      </c>
      <c r="AQ82" s="65" t="s">
        <v>168</v>
      </c>
      <c r="AV82" s="14">
        <f t="shared" ref="AV82:AV90" si="76">AW82+AX82</f>
        <v>0</v>
      </c>
      <c r="AW82" s="14">
        <f t="shared" ref="AW82:AW90" si="77">G82*AO82</f>
        <v>0</v>
      </c>
      <c r="AX82" s="14">
        <f t="shared" ref="AX82:AX90" si="78">G82*AP82</f>
        <v>0</v>
      </c>
      <c r="AY82" s="65" t="s">
        <v>265</v>
      </c>
      <c r="AZ82" s="65" t="s">
        <v>334</v>
      </c>
      <c r="BA82" s="49" t="s">
        <v>313</v>
      </c>
      <c r="BC82" s="14">
        <f t="shared" ref="BC82:BC90" si="79">AW82+AX82</f>
        <v>0</v>
      </c>
      <c r="BD82" s="14">
        <f t="shared" ref="BD82:BD90" si="80">H82/(100-BE82)*100</f>
        <v>0</v>
      </c>
      <c r="BE82" s="14">
        <v>0</v>
      </c>
      <c r="BF82" s="14">
        <f>82</f>
        <v>82</v>
      </c>
      <c r="BH82" s="14">
        <f t="shared" ref="BH82:BH90" si="81">G82*AO82</f>
        <v>0</v>
      </c>
      <c r="BI82" s="14">
        <f t="shared" ref="BI82:BI90" si="82">G82*AP82</f>
        <v>0</v>
      </c>
      <c r="BJ82" s="14">
        <f t="shared" ref="BJ82:BJ90" si="83">G82*H82</f>
        <v>0</v>
      </c>
      <c r="BK82" s="14"/>
      <c r="BL82" s="14">
        <v>91</v>
      </c>
      <c r="BW82" s="14">
        <v>21</v>
      </c>
      <c r="BX82" s="3" t="s">
        <v>332</v>
      </c>
    </row>
    <row r="83" spans="1:76" x14ac:dyDescent="0.25">
      <c r="A83" s="1" t="s">
        <v>335</v>
      </c>
      <c r="B83" s="2" t="s">
        <v>44</v>
      </c>
      <c r="C83" s="2" t="s">
        <v>336</v>
      </c>
      <c r="D83" s="81" t="s">
        <v>337</v>
      </c>
      <c r="E83" s="74"/>
      <c r="F83" s="2" t="s">
        <v>333</v>
      </c>
      <c r="G83" s="14">
        <v>2</v>
      </c>
      <c r="H83" s="64">
        <v>0</v>
      </c>
      <c r="I83" s="14">
        <f t="shared" si="64"/>
        <v>0</v>
      </c>
      <c r="K83" s="54"/>
      <c r="Z83" s="14">
        <f t="shared" si="65"/>
        <v>0</v>
      </c>
      <c r="AB83" s="14">
        <f t="shared" si="66"/>
        <v>0</v>
      </c>
      <c r="AC83" s="14">
        <f t="shared" si="67"/>
        <v>0</v>
      </c>
      <c r="AD83" s="14">
        <f t="shared" si="68"/>
        <v>0</v>
      </c>
      <c r="AE83" s="14">
        <f t="shared" si="69"/>
        <v>0</v>
      </c>
      <c r="AF83" s="14">
        <f t="shared" si="70"/>
        <v>0</v>
      </c>
      <c r="AG83" s="14">
        <f t="shared" si="71"/>
        <v>0</v>
      </c>
      <c r="AH83" s="14">
        <f t="shared" si="72"/>
        <v>0</v>
      </c>
      <c r="AI83" s="49" t="s">
        <v>44</v>
      </c>
      <c r="AJ83" s="14">
        <f t="shared" si="73"/>
        <v>0</v>
      </c>
      <c r="AK83" s="14">
        <f t="shared" si="74"/>
        <v>0</v>
      </c>
      <c r="AL83" s="14">
        <f t="shared" si="75"/>
        <v>0</v>
      </c>
      <c r="AN83" s="14">
        <v>21</v>
      </c>
      <c r="AO83" s="14">
        <f>H83*0</f>
        <v>0</v>
      </c>
      <c r="AP83" s="14">
        <f>H83*(1-0)</f>
        <v>0</v>
      </c>
      <c r="AQ83" s="65" t="s">
        <v>168</v>
      </c>
      <c r="AV83" s="14">
        <f t="shared" si="76"/>
        <v>0</v>
      </c>
      <c r="AW83" s="14">
        <f t="shared" si="77"/>
        <v>0</v>
      </c>
      <c r="AX83" s="14">
        <f t="shared" si="78"/>
        <v>0</v>
      </c>
      <c r="AY83" s="65" t="s">
        <v>265</v>
      </c>
      <c r="AZ83" s="65" t="s">
        <v>334</v>
      </c>
      <c r="BA83" s="49" t="s">
        <v>313</v>
      </c>
      <c r="BC83" s="14">
        <f t="shared" si="79"/>
        <v>0</v>
      </c>
      <c r="BD83" s="14">
        <f t="shared" si="80"/>
        <v>0</v>
      </c>
      <c r="BE83" s="14">
        <v>0</v>
      </c>
      <c r="BF83" s="14">
        <f>83</f>
        <v>83</v>
      </c>
      <c r="BH83" s="14">
        <f t="shared" si="81"/>
        <v>0</v>
      </c>
      <c r="BI83" s="14">
        <f t="shared" si="82"/>
        <v>0</v>
      </c>
      <c r="BJ83" s="14">
        <f t="shared" si="83"/>
        <v>0</v>
      </c>
      <c r="BK83" s="14"/>
      <c r="BL83" s="14">
        <v>91</v>
      </c>
      <c r="BW83" s="14">
        <v>21</v>
      </c>
      <c r="BX83" s="3" t="s">
        <v>337</v>
      </c>
    </row>
    <row r="84" spans="1:76" ht="25.5" x14ac:dyDescent="0.25">
      <c r="A84" s="1" t="s">
        <v>52</v>
      </c>
      <c r="B84" s="2" t="s">
        <v>44</v>
      </c>
      <c r="C84" s="2" t="s">
        <v>338</v>
      </c>
      <c r="D84" s="81" t="s">
        <v>339</v>
      </c>
      <c r="E84" s="74"/>
      <c r="F84" s="2" t="s">
        <v>333</v>
      </c>
      <c r="G84" s="14">
        <v>2</v>
      </c>
      <c r="H84" s="64">
        <v>0</v>
      </c>
      <c r="I84" s="14">
        <f t="shared" si="64"/>
        <v>0</v>
      </c>
      <c r="K84" s="54"/>
      <c r="Z84" s="14">
        <f t="shared" si="65"/>
        <v>0</v>
      </c>
      <c r="AB84" s="14">
        <f t="shared" si="66"/>
        <v>0</v>
      </c>
      <c r="AC84" s="14">
        <f t="shared" si="67"/>
        <v>0</v>
      </c>
      <c r="AD84" s="14">
        <f t="shared" si="68"/>
        <v>0</v>
      </c>
      <c r="AE84" s="14">
        <f t="shared" si="69"/>
        <v>0</v>
      </c>
      <c r="AF84" s="14">
        <f t="shared" si="70"/>
        <v>0</v>
      </c>
      <c r="AG84" s="14">
        <f t="shared" si="71"/>
        <v>0</v>
      </c>
      <c r="AH84" s="14">
        <f t="shared" si="72"/>
        <v>0</v>
      </c>
      <c r="AI84" s="49" t="s">
        <v>44</v>
      </c>
      <c r="AJ84" s="14">
        <f t="shared" si="73"/>
        <v>0</v>
      </c>
      <c r="AK84" s="14">
        <f t="shared" si="74"/>
        <v>0</v>
      </c>
      <c r="AL84" s="14">
        <f t="shared" si="75"/>
        <v>0</v>
      </c>
      <c r="AN84" s="14">
        <v>21</v>
      </c>
      <c r="AO84" s="14">
        <f>H84*0</f>
        <v>0</v>
      </c>
      <c r="AP84" s="14">
        <f>H84*(1-0)</f>
        <v>0</v>
      </c>
      <c r="AQ84" s="65" t="s">
        <v>168</v>
      </c>
      <c r="AV84" s="14">
        <f t="shared" si="76"/>
        <v>0</v>
      </c>
      <c r="AW84" s="14">
        <f t="shared" si="77"/>
        <v>0</v>
      </c>
      <c r="AX84" s="14">
        <f t="shared" si="78"/>
        <v>0</v>
      </c>
      <c r="AY84" s="65" t="s">
        <v>265</v>
      </c>
      <c r="AZ84" s="65" t="s">
        <v>334</v>
      </c>
      <c r="BA84" s="49" t="s">
        <v>313</v>
      </c>
      <c r="BC84" s="14">
        <f t="shared" si="79"/>
        <v>0</v>
      </c>
      <c r="BD84" s="14">
        <f t="shared" si="80"/>
        <v>0</v>
      </c>
      <c r="BE84" s="14">
        <v>0</v>
      </c>
      <c r="BF84" s="14">
        <f>84</f>
        <v>84</v>
      </c>
      <c r="BH84" s="14">
        <f t="shared" si="81"/>
        <v>0</v>
      </c>
      <c r="BI84" s="14">
        <f t="shared" si="82"/>
        <v>0</v>
      </c>
      <c r="BJ84" s="14">
        <f t="shared" si="83"/>
        <v>0</v>
      </c>
      <c r="BK84" s="14"/>
      <c r="BL84" s="14">
        <v>91</v>
      </c>
      <c r="BW84" s="14">
        <v>21</v>
      </c>
      <c r="BX84" s="3" t="s">
        <v>339</v>
      </c>
    </row>
    <row r="85" spans="1:76" x14ac:dyDescent="0.25">
      <c r="A85" s="1" t="s">
        <v>36</v>
      </c>
      <c r="B85" s="2" t="s">
        <v>44</v>
      </c>
      <c r="C85" s="2" t="s">
        <v>340</v>
      </c>
      <c r="D85" s="81" t="s">
        <v>341</v>
      </c>
      <c r="E85" s="74"/>
      <c r="F85" s="2" t="s">
        <v>333</v>
      </c>
      <c r="G85" s="14">
        <v>2</v>
      </c>
      <c r="H85" s="64">
        <v>0</v>
      </c>
      <c r="I85" s="14">
        <f t="shared" si="64"/>
        <v>0</v>
      </c>
      <c r="K85" s="54"/>
      <c r="Z85" s="14">
        <f t="shared" si="65"/>
        <v>0</v>
      </c>
      <c r="AB85" s="14">
        <f t="shared" si="66"/>
        <v>0</v>
      </c>
      <c r="AC85" s="14">
        <f t="shared" si="67"/>
        <v>0</v>
      </c>
      <c r="AD85" s="14">
        <f t="shared" si="68"/>
        <v>0</v>
      </c>
      <c r="AE85" s="14">
        <f t="shared" si="69"/>
        <v>0</v>
      </c>
      <c r="AF85" s="14">
        <f t="shared" si="70"/>
        <v>0</v>
      </c>
      <c r="AG85" s="14">
        <f t="shared" si="71"/>
        <v>0</v>
      </c>
      <c r="AH85" s="14">
        <f t="shared" si="72"/>
        <v>0</v>
      </c>
      <c r="AI85" s="49" t="s">
        <v>44</v>
      </c>
      <c r="AJ85" s="14">
        <f t="shared" si="73"/>
        <v>0</v>
      </c>
      <c r="AK85" s="14">
        <f t="shared" si="74"/>
        <v>0</v>
      </c>
      <c r="AL85" s="14">
        <f t="shared" si="75"/>
        <v>0</v>
      </c>
      <c r="AN85" s="14">
        <v>21</v>
      </c>
      <c r="AO85" s="14">
        <f>H85*0</f>
        <v>0</v>
      </c>
      <c r="AP85" s="14">
        <f>H85*(1-0)</f>
        <v>0</v>
      </c>
      <c r="AQ85" s="65" t="s">
        <v>168</v>
      </c>
      <c r="AV85" s="14">
        <f t="shared" si="76"/>
        <v>0</v>
      </c>
      <c r="AW85" s="14">
        <f t="shared" si="77"/>
        <v>0</v>
      </c>
      <c r="AX85" s="14">
        <f t="shared" si="78"/>
        <v>0</v>
      </c>
      <c r="AY85" s="65" t="s">
        <v>265</v>
      </c>
      <c r="AZ85" s="65" t="s">
        <v>334</v>
      </c>
      <c r="BA85" s="49" t="s">
        <v>313</v>
      </c>
      <c r="BC85" s="14">
        <f t="shared" si="79"/>
        <v>0</v>
      </c>
      <c r="BD85" s="14">
        <f t="shared" si="80"/>
        <v>0</v>
      </c>
      <c r="BE85" s="14">
        <v>0</v>
      </c>
      <c r="BF85" s="14">
        <f>85</f>
        <v>85</v>
      </c>
      <c r="BH85" s="14">
        <f t="shared" si="81"/>
        <v>0</v>
      </c>
      <c r="BI85" s="14">
        <f t="shared" si="82"/>
        <v>0</v>
      </c>
      <c r="BJ85" s="14">
        <f t="shared" si="83"/>
        <v>0</v>
      </c>
      <c r="BK85" s="14"/>
      <c r="BL85" s="14">
        <v>91</v>
      </c>
      <c r="BW85" s="14">
        <v>21</v>
      </c>
      <c r="BX85" s="3" t="s">
        <v>341</v>
      </c>
    </row>
    <row r="86" spans="1:76" x14ac:dyDescent="0.25">
      <c r="A86" s="1" t="s">
        <v>342</v>
      </c>
      <c r="B86" s="2" t="s">
        <v>44</v>
      </c>
      <c r="C86" s="2" t="s">
        <v>343</v>
      </c>
      <c r="D86" s="81" t="s">
        <v>344</v>
      </c>
      <c r="E86" s="74"/>
      <c r="F86" s="2" t="s">
        <v>333</v>
      </c>
      <c r="G86" s="14">
        <v>4</v>
      </c>
      <c r="H86" s="64">
        <v>0</v>
      </c>
      <c r="I86" s="14">
        <f t="shared" si="64"/>
        <v>0</v>
      </c>
      <c r="K86" s="54"/>
      <c r="Z86" s="14">
        <f t="shared" si="65"/>
        <v>0</v>
      </c>
      <c r="AB86" s="14">
        <f t="shared" si="66"/>
        <v>0</v>
      </c>
      <c r="AC86" s="14">
        <f t="shared" si="67"/>
        <v>0</v>
      </c>
      <c r="AD86" s="14">
        <f t="shared" si="68"/>
        <v>0</v>
      </c>
      <c r="AE86" s="14">
        <f t="shared" si="69"/>
        <v>0</v>
      </c>
      <c r="AF86" s="14">
        <f t="shared" si="70"/>
        <v>0</v>
      </c>
      <c r="AG86" s="14">
        <f t="shared" si="71"/>
        <v>0</v>
      </c>
      <c r="AH86" s="14">
        <f t="shared" si="72"/>
        <v>0</v>
      </c>
      <c r="AI86" s="49" t="s">
        <v>44</v>
      </c>
      <c r="AJ86" s="14">
        <f t="shared" si="73"/>
        <v>0</v>
      </c>
      <c r="AK86" s="14">
        <f t="shared" si="74"/>
        <v>0</v>
      </c>
      <c r="AL86" s="14">
        <f t="shared" si="75"/>
        <v>0</v>
      </c>
      <c r="AN86" s="14">
        <v>21</v>
      </c>
      <c r="AO86" s="14">
        <f>H86*1</f>
        <v>0</v>
      </c>
      <c r="AP86" s="14">
        <f>H86*(1-1)</f>
        <v>0</v>
      </c>
      <c r="AQ86" s="65" t="s">
        <v>168</v>
      </c>
      <c r="AV86" s="14">
        <f t="shared" si="76"/>
        <v>0</v>
      </c>
      <c r="AW86" s="14">
        <f t="shared" si="77"/>
        <v>0</v>
      </c>
      <c r="AX86" s="14">
        <f t="shared" si="78"/>
        <v>0</v>
      </c>
      <c r="AY86" s="65" t="s">
        <v>265</v>
      </c>
      <c r="AZ86" s="65" t="s">
        <v>334</v>
      </c>
      <c r="BA86" s="49" t="s">
        <v>313</v>
      </c>
      <c r="BC86" s="14">
        <f t="shared" si="79"/>
        <v>0</v>
      </c>
      <c r="BD86" s="14">
        <f t="shared" si="80"/>
        <v>0</v>
      </c>
      <c r="BE86" s="14">
        <v>0</v>
      </c>
      <c r="BF86" s="14">
        <f>86</f>
        <v>86</v>
      </c>
      <c r="BH86" s="14">
        <f t="shared" si="81"/>
        <v>0</v>
      </c>
      <c r="BI86" s="14">
        <f t="shared" si="82"/>
        <v>0</v>
      </c>
      <c r="BJ86" s="14">
        <f t="shared" si="83"/>
        <v>0</v>
      </c>
      <c r="BK86" s="14"/>
      <c r="BL86" s="14">
        <v>91</v>
      </c>
      <c r="BW86" s="14">
        <v>21</v>
      </c>
      <c r="BX86" s="3" t="s">
        <v>344</v>
      </c>
    </row>
    <row r="87" spans="1:76" x14ac:dyDescent="0.25">
      <c r="A87" s="1" t="s">
        <v>54</v>
      </c>
      <c r="B87" s="2" t="s">
        <v>44</v>
      </c>
      <c r="C87" s="2" t="s">
        <v>345</v>
      </c>
      <c r="D87" s="81" t="s">
        <v>346</v>
      </c>
      <c r="E87" s="74"/>
      <c r="F87" s="2" t="s">
        <v>333</v>
      </c>
      <c r="G87" s="14">
        <v>2</v>
      </c>
      <c r="H87" s="64">
        <v>0</v>
      </c>
      <c r="I87" s="14">
        <f t="shared" si="64"/>
        <v>0</v>
      </c>
      <c r="K87" s="54"/>
      <c r="Z87" s="14">
        <f t="shared" si="65"/>
        <v>0</v>
      </c>
      <c r="AB87" s="14">
        <f t="shared" si="66"/>
        <v>0</v>
      </c>
      <c r="AC87" s="14">
        <f t="shared" si="67"/>
        <v>0</v>
      </c>
      <c r="AD87" s="14">
        <f t="shared" si="68"/>
        <v>0</v>
      </c>
      <c r="AE87" s="14">
        <f t="shared" si="69"/>
        <v>0</v>
      </c>
      <c r="AF87" s="14">
        <f t="shared" si="70"/>
        <v>0</v>
      </c>
      <c r="AG87" s="14">
        <f t="shared" si="71"/>
        <v>0</v>
      </c>
      <c r="AH87" s="14">
        <f t="shared" si="72"/>
        <v>0</v>
      </c>
      <c r="AI87" s="49" t="s">
        <v>44</v>
      </c>
      <c r="AJ87" s="14">
        <f t="shared" si="73"/>
        <v>0</v>
      </c>
      <c r="AK87" s="14">
        <f t="shared" si="74"/>
        <v>0</v>
      </c>
      <c r="AL87" s="14">
        <f t="shared" si="75"/>
        <v>0</v>
      </c>
      <c r="AN87" s="14">
        <v>21</v>
      </c>
      <c r="AO87" s="14">
        <f>H87*1</f>
        <v>0</v>
      </c>
      <c r="AP87" s="14">
        <f>H87*(1-1)</f>
        <v>0</v>
      </c>
      <c r="AQ87" s="65" t="s">
        <v>168</v>
      </c>
      <c r="AV87" s="14">
        <f t="shared" si="76"/>
        <v>0</v>
      </c>
      <c r="AW87" s="14">
        <f t="shared" si="77"/>
        <v>0</v>
      </c>
      <c r="AX87" s="14">
        <f t="shared" si="78"/>
        <v>0</v>
      </c>
      <c r="AY87" s="65" t="s">
        <v>265</v>
      </c>
      <c r="AZ87" s="65" t="s">
        <v>334</v>
      </c>
      <c r="BA87" s="49" t="s">
        <v>313</v>
      </c>
      <c r="BC87" s="14">
        <f t="shared" si="79"/>
        <v>0</v>
      </c>
      <c r="BD87" s="14">
        <f t="shared" si="80"/>
        <v>0</v>
      </c>
      <c r="BE87" s="14">
        <v>0</v>
      </c>
      <c r="BF87" s="14">
        <f>87</f>
        <v>87</v>
      </c>
      <c r="BH87" s="14">
        <f t="shared" si="81"/>
        <v>0</v>
      </c>
      <c r="BI87" s="14">
        <f t="shared" si="82"/>
        <v>0</v>
      </c>
      <c r="BJ87" s="14">
        <f t="shared" si="83"/>
        <v>0</v>
      </c>
      <c r="BK87" s="14"/>
      <c r="BL87" s="14">
        <v>91</v>
      </c>
      <c r="BW87" s="14">
        <v>21</v>
      </c>
      <c r="BX87" s="3" t="s">
        <v>346</v>
      </c>
    </row>
    <row r="88" spans="1:76" x14ac:dyDescent="0.25">
      <c r="A88" s="1" t="s">
        <v>347</v>
      </c>
      <c r="B88" s="2" t="s">
        <v>44</v>
      </c>
      <c r="C88" s="2" t="s">
        <v>348</v>
      </c>
      <c r="D88" s="81" t="s">
        <v>349</v>
      </c>
      <c r="E88" s="74"/>
      <c r="F88" s="2" t="s">
        <v>333</v>
      </c>
      <c r="G88" s="14">
        <v>2</v>
      </c>
      <c r="H88" s="64">
        <v>0</v>
      </c>
      <c r="I88" s="14">
        <f t="shared" si="64"/>
        <v>0</v>
      </c>
      <c r="K88" s="54"/>
      <c r="Z88" s="14">
        <f t="shared" si="65"/>
        <v>0</v>
      </c>
      <c r="AB88" s="14">
        <f t="shared" si="66"/>
        <v>0</v>
      </c>
      <c r="AC88" s="14">
        <f t="shared" si="67"/>
        <v>0</v>
      </c>
      <c r="AD88" s="14">
        <f t="shared" si="68"/>
        <v>0</v>
      </c>
      <c r="AE88" s="14">
        <f t="shared" si="69"/>
        <v>0</v>
      </c>
      <c r="AF88" s="14">
        <f t="shared" si="70"/>
        <v>0</v>
      </c>
      <c r="AG88" s="14">
        <f t="shared" si="71"/>
        <v>0</v>
      </c>
      <c r="AH88" s="14">
        <f t="shared" si="72"/>
        <v>0</v>
      </c>
      <c r="AI88" s="49" t="s">
        <v>44</v>
      </c>
      <c r="AJ88" s="14">
        <f t="shared" si="73"/>
        <v>0</v>
      </c>
      <c r="AK88" s="14">
        <f t="shared" si="74"/>
        <v>0</v>
      </c>
      <c r="AL88" s="14">
        <f t="shared" si="75"/>
        <v>0</v>
      </c>
      <c r="AN88" s="14">
        <v>21</v>
      </c>
      <c r="AO88" s="14">
        <f>H88*1</f>
        <v>0</v>
      </c>
      <c r="AP88" s="14">
        <f>H88*(1-1)</f>
        <v>0</v>
      </c>
      <c r="AQ88" s="65" t="s">
        <v>168</v>
      </c>
      <c r="AV88" s="14">
        <f t="shared" si="76"/>
        <v>0</v>
      </c>
      <c r="AW88" s="14">
        <f t="shared" si="77"/>
        <v>0</v>
      </c>
      <c r="AX88" s="14">
        <f t="shared" si="78"/>
        <v>0</v>
      </c>
      <c r="AY88" s="65" t="s">
        <v>265</v>
      </c>
      <c r="AZ88" s="65" t="s">
        <v>334</v>
      </c>
      <c r="BA88" s="49" t="s">
        <v>313</v>
      </c>
      <c r="BC88" s="14">
        <f t="shared" si="79"/>
        <v>0</v>
      </c>
      <c r="BD88" s="14">
        <f t="shared" si="80"/>
        <v>0</v>
      </c>
      <c r="BE88" s="14">
        <v>0</v>
      </c>
      <c r="BF88" s="14">
        <f>88</f>
        <v>88</v>
      </c>
      <c r="BH88" s="14">
        <f t="shared" si="81"/>
        <v>0</v>
      </c>
      <c r="BI88" s="14">
        <f t="shared" si="82"/>
        <v>0</v>
      </c>
      <c r="BJ88" s="14">
        <f t="shared" si="83"/>
        <v>0</v>
      </c>
      <c r="BK88" s="14"/>
      <c r="BL88" s="14">
        <v>91</v>
      </c>
      <c r="BW88" s="14">
        <v>21</v>
      </c>
      <c r="BX88" s="3" t="s">
        <v>349</v>
      </c>
    </row>
    <row r="89" spans="1:76" ht="25.5" x14ac:dyDescent="0.25">
      <c r="A89" s="1" t="s">
        <v>350</v>
      </c>
      <c r="B89" s="2" t="s">
        <v>44</v>
      </c>
      <c r="C89" s="2" t="s">
        <v>351</v>
      </c>
      <c r="D89" s="81" t="s">
        <v>352</v>
      </c>
      <c r="E89" s="74"/>
      <c r="F89" s="2" t="s">
        <v>264</v>
      </c>
      <c r="G89" s="14">
        <v>3</v>
      </c>
      <c r="H89" s="64">
        <v>0</v>
      </c>
      <c r="I89" s="14">
        <f t="shared" si="64"/>
        <v>0</v>
      </c>
      <c r="K89" s="54"/>
      <c r="Z89" s="14">
        <f t="shared" si="65"/>
        <v>0</v>
      </c>
      <c r="AB89" s="14">
        <f t="shared" si="66"/>
        <v>0</v>
      </c>
      <c r="AC89" s="14">
        <f t="shared" si="67"/>
        <v>0</v>
      </c>
      <c r="AD89" s="14">
        <f t="shared" si="68"/>
        <v>0</v>
      </c>
      <c r="AE89" s="14">
        <f t="shared" si="69"/>
        <v>0</v>
      </c>
      <c r="AF89" s="14">
        <f t="shared" si="70"/>
        <v>0</v>
      </c>
      <c r="AG89" s="14">
        <f t="shared" si="71"/>
        <v>0</v>
      </c>
      <c r="AH89" s="14">
        <f t="shared" si="72"/>
        <v>0</v>
      </c>
      <c r="AI89" s="49" t="s">
        <v>44</v>
      </c>
      <c r="AJ89" s="14">
        <f t="shared" si="73"/>
        <v>0</v>
      </c>
      <c r="AK89" s="14">
        <f t="shared" si="74"/>
        <v>0</v>
      </c>
      <c r="AL89" s="14">
        <f t="shared" si="75"/>
        <v>0</v>
      </c>
      <c r="AN89" s="14">
        <v>21</v>
      </c>
      <c r="AO89" s="14">
        <f>H89*0</f>
        <v>0</v>
      </c>
      <c r="AP89" s="14">
        <f>H89*(1-0)</f>
        <v>0</v>
      </c>
      <c r="AQ89" s="65" t="s">
        <v>168</v>
      </c>
      <c r="AV89" s="14">
        <f t="shared" si="76"/>
        <v>0</v>
      </c>
      <c r="AW89" s="14">
        <f t="shared" si="77"/>
        <v>0</v>
      </c>
      <c r="AX89" s="14">
        <f t="shared" si="78"/>
        <v>0</v>
      </c>
      <c r="AY89" s="65" t="s">
        <v>265</v>
      </c>
      <c r="AZ89" s="65" t="s">
        <v>334</v>
      </c>
      <c r="BA89" s="49" t="s">
        <v>313</v>
      </c>
      <c r="BC89" s="14">
        <f t="shared" si="79"/>
        <v>0</v>
      </c>
      <c r="BD89" s="14">
        <f t="shared" si="80"/>
        <v>0</v>
      </c>
      <c r="BE89" s="14">
        <v>0</v>
      </c>
      <c r="BF89" s="14">
        <f>89</f>
        <v>89</v>
      </c>
      <c r="BH89" s="14">
        <f t="shared" si="81"/>
        <v>0</v>
      </c>
      <c r="BI89" s="14">
        <f t="shared" si="82"/>
        <v>0</v>
      </c>
      <c r="BJ89" s="14">
        <f t="shared" si="83"/>
        <v>0</v>
      </c>
      <c r="BK89" s="14"/>
      <c r="BL89" s="14">
        <v>91</v>
      </c>
      <c r="BW89" s="14">
        <v>21</v>
      </c>
      <c r="BX89" s="3" t="s">
        <v>352</v>
      </c>
    </row>
    <row r="90" spans="1:76" ht="25.5" x14ac:dyDescent="0.25">
      <c r="A90" s="1" t="s">
        <v>353</v>
      </c>
      <c r="B90" s="2" t="s">
        <v>44</v>
      </c>
      <c r="C90" s="2" t="s">
        <v>354</v>
      </c>
      <c r="D90" s="81" t="s">
        <v>355</v>
      </c>
      <c r="E90" s="74"/>
      <c r="F90" s="2" t="s">
        <v>171</v>
      </c>
      <c r="G90" s="14">
        <v>16</v>
      </c>
      <c r="H90" s="64">
        <v>0</v>
      </c>
      <c r="I90" s="14">
        <f t="shared" si="64"/>
        <v>0</v>
      </c>
      <c r="K90" s="54"/>
      <c r="Z90" s="14">
        <f t="shared" si="65"/>
        <v>0</v>
      </c>
      <c r="AB90" s="14">
        <f t="shared" si="66"/>
        <v>0</v>
      </c>
      <c r="AC90" s="14">
        <f t="shared" si="67"/>
        <v>0</v>
      </c>
      <c r="AD90" s="14">
        <f t="shared" si="68"/>
        <v>0</v>
      </c>
      <c r="AE90" s="14">
        <f t="shared" si="69"/>
        <v>0</v>
      </c>
      <c r="AF90" s="14">
        <f t="shared" si="70"/>
        <v>0</v>
      </c>
      <c r="AG90" s="14">
        <f t="shared" si="71"/>
        <v>0</v>
      </c>
      <c r="AH90" s="14">
        <f t="shared" si="72"/>
        <v>0</v>
      </c>
      <c r="AI90" s="49" t="s">
        <v>44</v>
      </c>
      <c r="AJ90" s="14">
        <f t="shared" si="73"/>
        <v>0</v>
      </c>
      <c r="AK90" s="14">
        <f t="shared" si="74"/>
        <v>0</v>
      </c>
      <c r="AL90" s="14">
        <f t="shared" si="75"/>
        <v>0</v>
      </c>
      <c r="AN90" s="14">
        <v>21</v>
      </c>
      <c r="AO90" s="14">
        <f>H90*0</f>
        <v>0</v>
      </c>
      <c r="AP90" s="14">
        <f>H90*(1-0)</f>
        <v>0</v>
      </c>
      <c r="AQ90" s="65" t="s">
        <v>168</v>
      </c>
      <c r="AV90" s="14">
        <f t="shared" si="76"/>
        <v>0</v>
      </c>
      <c r="AW90" s="14">
        <f t="shared" si="77"/>
        <v>0</v>
      </c>
      <c r="AX90" s="14">
        <f t="shared" si="78"/>
        <v>0</v>
      </c>
      <c r="AY90" s="65" t="s">
        <v>265</v>
      </c>
      <c r="AZ90" s="65" t="s">
        <v>334</v>
      </c>
      <c r="BA90" s="49" t="s">
        <v>313</v>
      </c>
      <c r="BC90" s="14">
        <f t="shared" si="79"/>
        <v>0</v>
      </c>
      <c r="BD90" s="14">
        <f t="shared" si="80"/>
        <v>0</v>
      </c>
      <c r="BE90" s="14">
        <v>0</v>
      </c>
      <c r="BF90" s="14">
        <f>90</f>
        <v>90</v>
      </c>
      <c r="BH90" s="14">
        <f t="shared" si="81"/>
        <v>0</v>
      </c>
      <c r="BI90" s="14">
        <f t="shared" si="82"/>
        <v>0</v>
      </c>
      <c r="BJ90" s="14">
        <f t="shared" si="83"/>
        <v>0</v>
      </c>
      <c r="BK90" s="14"/>
      <c r="BL90" s="14">
        <v>91</v>
      </c>
      <c r="BW90" s="14">
        <v>21</v>
      </c>
      <c r="BX90" s="3" t="s">
        <v>355</v>
      </c>
    </row>
    <row r="91" spans="1:76" x14ac:dyDescent="0.25">
      <c r="A91" s="60" t="s">
        <v>20</v>
      </c>
      <c r="B91" s="61" t="s">
        <v>44</v>
      </c>
      <c r="C91" s="61" t="s">
        <v>48</v>
      </c>
      <c r="D91" s="162" t="s">
        <v>49</v>
      </c>
      <c r="E91" s="163"/>
      <c r="F91" s="62" t="s">
        <v>13</v>
      </c>
      <c r="G91" s="62" t="s">
        <v>13</v>
      </c>
      <c r="H91" s="63" t="s">
        <v>13</v>
      </c>
      <c r="I91" s="43">
        <f>SUM(I92:I92)</f>
        <v>0</v>
      </c>
      <c r="K91" s="54"/>
      <c r="AI91" s="49" t="s">
        <v>44</v>
      </c>
      <c r="AS91" s="43">
        <f>SUM(AJ92:AJ92)</f>
        <v>0</v>
      </c>
      <c r="AT91" s="43">
        <f>SUM(AK92:AK92)</f>
        <v>0</v>
      </c>
      <c r="AU91" s="43">
        <f>SUM(AL92:AL92)</f>
        <v>0</v>
      </c>
    </row>
    <row r="92" spans="1:76" ht="25.5" x14ac:dyDescent="0.25">
      <c r="A92" s="1" t="s">
        <v>356</v>
      </c>
      <c r="B92" s="2" t="s">
        <v>44</v>
      </c>
      <c r="C92" s="2" t="s">
        <v>357</v>
      </c>
      <c r="D92" s="81" t="s">
        <v>358</v>
      </c>
      <c r="E92" s="74"/>
      <c r="F92" s="2" t="s">
        <v>264</v>
      </c>
      <c r="G92" s="14">
        <v>10</v>
      </c>
      <c r="H92" s="64">
        <v>0</v>
      </c>
      <c r="I92" s="14">
        <f>G92*H92</f>
        <v>0</v>
      </c>
      <c r="K92" s="54"/>
      <c r="Z92" s="14">
        <f>IF(AQ92="5",BJ92,0)</f>
        <v>0</v>
      </c>
      <c r="AB92" s="14">
        <f>IF(AQ92="1",BH92,0)</f>
        <v>0</v>
      </c>
      <c r="AC92" s="14">
        <f>IF(AQ92="1",BI92,0)</f>
        <v>0</v>
      </c>
      <c r="AD92" s="14">
        <f>IF(AQ92="7",BH92,0)</f>
        <v>0</v>
      </c>
      <c r="AE92" s="14">
        <f>IF(AQ92="7",BI92,0)</f>
        <v>0</v>
      </c>
      <c r="AF92" s="14">
        <f>IF(AQ92="2",BH92,0)</f>
        <v>0</v>
      </c>
      <c r="AG92" s="14">
        <f>IF(AQ92="2",BI92,0)</f>
        <v>0</v>
      </c>
      <c r="AH92" s="14">
        <f>IF(AQ92="0",BJ92,0)</f>
        <v>0</v>
      </c>
      <c r="AI92" s="49" t="s">
        <v>44</v>
      </c>
      <c r="AJ92" s="14">
        <f>IF(AN92=0,I92,0)</f>
        <v>0</v>
      </c>
      <c r="AK92" s="14">
        <f>IF(AN92=12,I92,0)</f>
        <v>0</v>
      </c>
      <c r="AL92" s="14">
        <f>IF(AN92=21,I92,0)</f>
        <v>0</v>
      </c>
      <c r="AN92" s="14">
        <v>21</v>
      </c>
      <c r="AO92" s="14">
        <f>H92*0</f>
        <v>0</v>
      </c>
      <c r="AP92" s="14">
        <f>H92*(1-0)</f>
        <v>0</v>
      </c>
      <c r="AQ92" s="65" t="s">
        <v>168</v>
      </c>
      <c r="AV92" s="14">
        <f>AW92+AX92</f>
        <v>0</v>
      </c>
      <c r="AW92" s="14">
        <f>G92*AO92</f>
        <v>0</v>
      </c>
      <c r="AX92" s="14">
        <f>G92*AP92</f>
        <v>0</v>
      </c>
      <c r="AY92" s="65" t="s">
        <v>359</v>
      </c>
      <c r="AZ92" s="65" t="s">
        <v>334</v>
      </c>
      <c r="BA92" s="49" t="s">
        <v>313</v>
      </c>
      <c r="BC92" s="14">
        <f>AW92+AX92</f>
        <v>0</v>
      </c>
      <c r="BD92" s="14">
        <f>H92/(100-BE92)*100</f>
        <v>0</v>
      </c>
      <c r="BE92" s="14">
        <v>0</v>
      </c>
      <c r="BF92" s="14">
        <f>92</f>
        <v>92</v>
      </c>
      <c r="BH92" s="14">
        <f>G92*AO92</f>
        <v>0</v>
      </c>
      <c r="BI92" s="14">
        <f>G92*AP92</f>
        <v>0</v>
      </c>
      <c r="BJ92" s="14">
        <f>G92*H92</f>
        <v>0</v>
      </c>
      <c r="BK92" s="14"/>
      <c r="BL92" s="14">
        <v>96</v>
      </c>
      <c r="BW92" s="14">
        <v>21</v>
      </c>
      <c r="BX92" s="3" t="s">
        <v>358</v>
      </c>
    </row>
    <row r="93" spans="1:76" x14ac:dyDescent="0.25">
      <c r="A93" s="60" t="s">
        <v>20</v>
      </c>
      <c r="B93" s="61" t="s">
        <v>44</v>
      </c>
      <c r="C93" s="61" t="s">
        <v>42</v>
      </c>
      <c r="D93" s="162" t="s">
        <v>43</v>
      </c>
      <c r="E93" s="163"/>
      <c r="F93" s="62" t="s">
        <v>13</v>
      </c>
      <c r="G93" s="62" t="s">
        <v>13</v>
      </c>
      <c r="H93" s="63" t="s">
        <v>13</v>
      </c>
      <c r="I93" s="43">
        <f>SUM(I94:I97)</f>
        <v>0</v>
      </c>
      <c r="K93" s="54"/>
      <c r="AI93" s="49" t="s">
        <v>44</v>
      </c>
      <c r="AS93" s="43">
        <f>SUM(AJ94:AJ97)</f>
        <v>0</v>
      </c>
      <c r="AT93" s="43">
        <f>SUM(AK94:AK97)</f>
        <v>0</v>
      </c>
      <c r="AU93" s="43">
        <f>SUM(AL94:AL97)</f>
        <v>0</v>
      </c>
    </row>
    <row r="94" spans="1:76" ht="25.5" x14ac:dyDescent="0.25">
      <c r="A94" s="1" t="s">
        <v>360</v>
      </c>
      <c r="B94" s="2" t="s">
        <v>44</v>
      </c>
      <c r="C94" s="2" t="s">
        <v>293</v>
      </c>
      <c r="D94" s="81" t="s">
        <v>294</v>
      </c>
      <c r="E94" s="74"/>
      <c r="F94" s="2" t="s">
        <v>217</v>
      </c>
      <c r="G94" s="14">
        <v>0.02</v>
      </c>
      <c r="H94" s="64">
        <v>0</v>
      </c>
      <c r="I94" s="14">
        <f>G94*H94</f>
        <v>0</v>
      </c>
      <c r="K94" s="54"/>
      <c r="Z94" s="14">
        <f>IF(AQ94="5",BJ94,0)</f>
        <v>0</v>
      </c>
      <c r="AB94" s="14">
        <f>IF(AQ94="1",BH94,0)</f>
        <v>0</v>
      </c>
      <c r="AC94" s="14">
        <f>IF(AQ94="1",BI94,0)</f>
        <v>0</v>
      </c>
      <c r="AD94" s="14">
        <f>IF(AQ94="7",BH94,0)</f>
        <v>0</v>
      </c>
      <c r="AE94" s="14">
        <f>IF(AQ94="7",BI94,0)</f>
        <v>0</v>
      </c>
      <c r="AF94" s="14">
        <f>IF(AQ94="2",BH94,0)</f>
        <v>0</v>
      </c>
      <c r="AG94" s="14">
        <f>IF(AQ94="2",BI94,0)</f>
        <v>0</v>
      </c>
      <c r="AH94" s="14">
        <f>IF(AQ94="0",BJ94,0)</f>
        <v>0</v>
      </c>
      <c r="AI94" s="49" t="s">
        <v>44</v>
      </c>
      <c r="AJ94" s="14">
        <f>IF(AN94=0,I94,0)</f>
        <v>0</v>
      </c>
      <c r="AK94" s="14">
        <f>IF(AN94=12,I94,0)</f>
        <v>0</v>
      </c>
      <c r="AL94" s="14">
        <f>IF(AN94=21,I94,0)</f>
        <v>0</v>
      </c>
      <c r="AN94" s="14">
        <v>21</v>
      </c>
      <c r="AO94" s="14">
        <f>H94*0</f>
        <v>0</v>
      </c>
      <c r="AP94" s="14">
        <f>H94*(1-0)</f>
        <v>0</v>
      </c>
      <c r="AQ94" s="65" t="s">
        <v>168</v>
      </c>
      <c r="AV94" s="14">
        <f>AW94+AX94</f>
        <v>0</v>
      </c>
      <c r="AW94" s="14">
        <f>G94*AO94</f>
        <v>0</v>
      </c>
      <c r="AX94" s="14">
        <f>G94*AP94</f>
        <v>0</v>
      </c>
      <c r="AY94" s="65" t="s">
        <v>295</v>
      </c>
      <c r="AZ94" s="65" t="s">
        <v>334</v>
      </c>
      <c r="BA94" s="49" t="s">
        <v>313</v>
      </c>
      <c r="BC94" s="14">
        <f>AW94+AX94</f>
        <v>0</v>
      </c>
      <c r="BD94" s="14">
        <f>H94/(100-BE94)*100</f>
        <v>0</v>
      </c>
      <c r="BE94" s="14">
        <v>0</v>
      </c>
      <c r="BF94" s="14">
        <f>94</f>
        <v>94</v>
      </c>
      <c r="BH94" s="14">
        <f>G94*AO94</f>
        <v>0</v>
      </c>
      <c r="BI94" s="14">
        <f>G94*AP94</f>
        <v>0</v>
      </c>
      <c r="BJ94" s="14">
        <f>G94*H94</f>
        <v>0</v>
      </c>
      <c r="BK94" s="14"/>
      <c r="BL94" s="14"/>
      <c r="BW94" s="14">
        <v>21</v>
      </c>
      <c r="BX94" s="3" t="s">
        <v>294</v>
      </c>
    </row>
    <row r="95" spans="1:76" ht="25.5" x14ac:dyDescent="0.25">
      <c r="A95" s="1" t="s">
        <v>361</v>
      </c>
      <c r="B95" s="2" t="s">
        <v>44</v>
      </c>
      <c r="C95" s="2" t="s">
        <v>297</v>
      </c>
      <c r="D95" s="81" t="s">
        <v>298</v>
      </c>
      <c r="E95" s="74"/>
      <c r="F95" s="2" t="s">
        <v>217</v>
      </c>
      <c r="G95" s="14">
        <v>0.26</v>
      </c>
      <c r="H95" s="64">
        <v>0</v>
      </c>
      <c r="I95" s="14">
        <f>G95*H95</f>
        <v>0</v>
      </c>
      <c r="K95" s="54"/>
      <c r="Z95" s="14">
        <f>IF(AQ95="5",BJ95,0)</f>
        <v>0</v>
      </c>
      <c r="AB95" s="14">
        <f>IF(AQ95="1",BH95,0)</f>
        <v>0</v>
      </c>
      <c r="AC95" s="14">
        <f>IF(AQ95="1",BI95,0)</f>
        <v>0</v>
      </c>
      <c r="AD95" s="14">
        <f>IF(AQ95="7",BH95,0)</f>
        <v>0</v>
      </c>
      <c r="AE95" s="14">
        <f>IF(AQ95="7",BI95,0)</f>
        <v>0</v>
      </c>
      <c r="AF95" s="14">
        <f>IF(AQ95="2",BH95,0)</f>
        <v>0</v>
      </c>
      <c r="AG95" s="14">
        <f>IF(AQ95="2",BI95,0)</f>
        <v>0</v>
      </c>
      <c r="AH95" s="14">
        <f>IF(AQ95="0",BJ95,0)</f>
        <v>0</v>
      </c>
      <c r="AI95" s="49" t="s">
        <v>44</v>
      </c>
      <c r="AJ95" s="14">
        <f>IF(AN95=0,I95,0)</f>
        <v>0</v>
      </c>
      <c r="AK95" s="14">
        <f>IF(AN95=12,I95,0)</f>
        <v>0</v>
      </c>
      <c r="AL95" s="14">
        <f>IF(AN95=21,I95,0)</f>
        <v>0</v>
      </c>
      <c r="AN95" s="14">
        <v>21</v>
      </c>
      <c r="AO95" s="14">
        <f>H95*0</f>
        <v>0</v>
      </c>
      <c r="AP95" s="14">
        <f>H95*(1-0)</f>
        <v>0</v>
      </c>
      <c r="AQ95" s="65" t="s">
        <v>168</v>
      </c>
      <c r="AV95" s="14">
        <f>AW95+AX95</f>
        <v>0</v>
      </c>
      <c r="AW95" s="14">
        <f>G95*AO95</f>
        <v>0</v>
      </c>
      <c r="AX95" s="14">
        <f>G95*AP95</f>
        <v>0</v>
      </c>
      <c r="AY95" s="65" t="s">
        <v>295</v>
      </c>
      <c r="AZ95" s="65" t="s">
        <v>334</v>
      </c>
      <c r="BA95" s="49" t="s">
        <v>313</v>
      </c>
      <c r="BC95" s="14">
        <f>AW95+AX95</f>
        <v>0</v>
      </c>
      <c r="BD95" s="14">
        <f>H95/(100-BE95)*100</f>
        <v>0</v>
      </c>
      <c r="BE95" s="14">
        <v>0</v>
      </c>
      <c r="BF95" s="14">
        <f>95</f>
        <v>95</v>
      </c>
      <c r="BH95" s="14">
        <f>G95*AO95</f>
        <v>0</v>
      </c>
      <c r="BI95" s="14">
        <f>G95*AP95</f>
        <v>0</v>
      </c>
      <c r="BJ95" s="14">
        <f>G95*H95</f>
        <v>0</v>
      </c>
      <c r="BK95" s="14"/>
      <c r="BL95" s="14"/>
      <c r="BW95" s="14">
        <v>21</v>
      </c>
      <c r="BX95" s="3" t="s">
        <v>298</v>
      </c>
    </row>
    <row r="96" spans="1:76" x14ac:dyDescent="0.25">
      <c r="A96" s="1" t="s">
        <v>362</v>
      </c>
      <c r="B96" s="2" t="s">
        <v>44</v>
      </c>
      <c r="C96" s="2" t="s">
        <v>300</v>
      </c>
      <c r="D96" s="81" t="s">
        <v>301</v>
      </c>
      <c r="E96" s="74"/>
      <c r="F96" s="2" t="s">
        <v>217</v>
      </c>
      <c r="G96" s="14">
        <v>0.02</v>
      </c>
      <c r="H96" s="64">
        <v>0</v>
      </c>
      <c r="I96" s="14">
        <f>G96*H96</f>
        <v>0</v>
      </c>
      <c r="K96" s="54"/>
      <c r="Z96" s="14">
        <f>IF(AQ96="5",BJ96,0)</f>
        <v>0</v>
      </c>
      <c r="AB96" s="14">
        <f>IF(AQ96="1",BH96,0)</f>
        <v>0</v>
      </c>
      <c r="AC96" s="14">
        <f>IF(AQ96="1",BI96,0)</f>
        <v>0</v>
      </c>
      <c r="AD96" s="14">
        <f>IF(AQ96="7",BH96,0)</f>
        <v>0</v>
      </c>
      <c r="AE96" s="14">
        <f>IF(AQ96="7",BI96,0)</f>
        <v>0</v>
      </c>
      <c r="AF96" s="14">
        <f>IF(AQ96="2",BH96,0)</f>
        <v>0</v>
      </c>
      <c r="AG96" s="14">
        <f>IF(AQ96="2",BI96,0)</f>
        <v>0</v>
      </c>
      <c r="AH96" s="14">
        <f>IF(AQ96="0",BJ96,0)</f>
        <v>0</v>
      </c>
      <c r="AI96" s="49" t="s">
        <v>44</v>
      </c>
      <c r="AJ96" s="14">
        <f>IF(AN96=0,I96,0)</f>
        <v>0</v>
      </c>
      <c r="AK96" s="14">
        <f>IF(AN96=12,I96,0)</f>
        <v>0</v>
      </c>
      <c r="AL96" s="14">
        <f>IF(AN96=21,I96,0)</f>
        <v>0</v>
      </c>
      <c r="AN96" s="14">
        <v>21</v>
      </c>
      <c r="AO96" s="14">
        <f>H96*0</f>
        <v>0</v>
      </c>
      <c r="AP96" s="14">
        <f>H96*(1-0)</f>
        <v>0</v>
      </c>
      <c r="AQ96" s="65" t="s">
        <v>168</v>
      </c>
      <c r="AV96" s="14">
        <f>AW96+AX96</f>
        <v>0</v>
      </c>
      <c r="AW96" s="14">
        <f>G96*AO96</f>
        <v>0</v>
      </c>
      <c r="AX96" s="14">
        <f>G96*AP96</f>
        <v>0</v>
      </c>
      <c r="AY96" s="65" t="s">
        <v>295</v>
      </c>
      <c r="AZ96" s="65" t="s">
        <v>334</v>
      </c>
      <c r="BA96" s="49" t="s">
        <v>313</v>
      </c>
      <c r="BC96" s="14">
        <f>AW96+AX96</f>
        <v>0</v>
      </c>
      <c r="BD96" s="14">
        <f>H96/(100-BE96)*100</f>
        <v>0</v>
      </c>
      <c r="BE96" s="14">
        <v>0</v>
      </c>
      <c r="BF96" s="14">
        <f>96</f>
        <v>96</v>
      </c>
      <c r="BH96" s="14">
        <f>G96*AO96</f>
        <v>0</v>
      </c>
      <c r="BI96" s="14">
        <f>G96*AP96</f>
        <v>0</v>
      </c>
      <c r="BJ96" s="14">
        <f>G96*H96</f>
        <v>0</v>
      </c>
      <c r="BK96" s="14"/>
      <c r="BL96" s="14"/>
      <c r="BW96" s="14">
        <v>21</v>
      </c>
      <c r="BX96" s="3" t="s">
        <v>301</v>
      </c>
    </row>
    <row r="97" spans="1:76" ht="25.5" x14ac:dyDescent="0.25">
      <c r="A97" s="1" t="s">
        <v>363</v>
      </c>
      <c r="B97" s="2" t="s">
        <v>44</v>
      </c>
      <c r="C97" s="2" t="s">
        <v>364</v>
      </c>
      <c r="D97" s="81" t="s">
        <v>365</v>
      </c>
      <c r="E97" s="74"/>
      <c r="F97" s="2" t="s">
        <v>217</v>
      </c>
      <c r="G97" s="14">
        <v>0.02</v>
      </c>
      <c r="H97" s="64">
        <v>0</v>
      </c>
      <c r="I97" s="14">
        <f>G97*H97</f>
        <v>0</v>
      </c>
      <c r="K97" s="54"/>
      <c r="Z97" s="14">
        <f>IF(AQ97="5",BJ97,0)</f>
        <v>0</v>
      </c>
      <c r="AB97" s="14">
        <f>IF(AQ97="1",BH97,0)</f>
        <v>0</v>
      </c>
      <c r="AC97" s="14">
        <f>IF(AQ97="1",BI97,0)</f>
        <v>0</v>
      </c>
      <c r="AD97" s="14">
        <f>IF(AQ97="7",BH97,0)</f>
        <v>0</v>
      </c>
      <c r="AE97" s="14">
        <f>IF(AQ97="7",BI97,0)</f>
        <v>0</v>
      </c>
      <c r="AF97" s="14">
        <f>IF(AQ97="2",BH97,0)</f>
        <v>0</v>
      </c>
      <c r="AG97" s="14">
        <f>IF(AQ97="2",BI97,0)</f>
        <v>0</v>
      </c>
      <c r="AH97" s="14">
        <f>IF(AQ97="0",BJ97,0)</f>
        <v>0</v>
      </c>
      <c r="AI97" s="49" t="s">
        <v>44</v>
      </c>
      <c r="AJ97" s="14">
        <f>IF(AN97=0,I97,0)</f>
        <v>0</v>
      </c>
      <c r="AK97" s="14">
        <f>IF(AN97=12,I97,0)</f>
        <v>0</v>
      </c>
      <c r="AL97" s="14">
        <f>IF(AN97=21,I97,0)</f>
        <v>0</v>
      </c>
      <c r="AN97" s="14">
        <v>21</v>
      </c>
      <c r="AO97" s="14">
        <f>H97*0</f>
        <v>0</v>
      </c>
      <c r="AP97" s="14">
        <f>H97*(1-0)</f>
        <v>0</v>
      </c>
      <c r="AQ97" s="65" t="s">
        <v>168</v>
      </c>
      <c r="AV97" s="14">
        <f>AW97+AX97</f>
        <v>0</v>
      </c>
      <c r="AW97" s="14">
        <f>G97*AO97</f>
        <v>0</v>
      </c>
      <c r="AX97" s="14">
        <f>G97*AP97</f>
        <v>0</v>
      </c>
      <c r="AY97" s="65" t="s">
        <v>295</v>
      </c>
      <c r="AZ97" s="65" t="s">
        <v>334</v>
      </c>
      <c r="BA97" s="49" t="s">
        <v>313</v>
      </c>
      <c r="BC97" s="14">
        <f>AW97+AX97</f>
        <v>0</v>
      </c>
      <c r="BD97" s="14">
        <f>H97/(100-BE97)*100</f>
        <v>0</v>
      </c>
      <c r="BE97" s="14">
        <v>0</v>
      </c>
      <c r="BF97" s="14">
        <f>97</f>
        <v>97</v>
      </c>
      <c r="BH97" s="14">
        <f>G97*AO97</f>
        <v>0</v>
      </c>
      <c r="BI97" s="14">
        <f>G97*AP97</f>
        <v>0</v>
      </c>
      <c r="BJ97" s="14">
        <f>G97*H97</f>
        <v>0</v>
      </c>
      <c r="BK97" s="14"/>
      <c r="BL97" s="14"/>
      <c r="BW97" s="14">
        <v>21</v>
      </c>
      <c r="BX97" s="3" t="s">
        <v>365</v>
      </c>
    </row>
    <row r="98" spans="1:76" x14ac:dyDescent="0.25">
      <c r="A98" s="60" t="s">
        <v>20</v>
      </c>
      <c r="B98" s="61" t="s">
        <v>50</v>
      </c>
      <c r="C98" s="61" t="s">
        <v>20</v>
      </c>
      <c r="D98" s="162" t="s">
        <v>51</v>
      </c>
      <c r="E98" s="163"/>
      <c r="F98" s="62" t="s">
        <v>13</v>
      </c>
      <c r="G98" s="62" t="s">
        <v>13</v>
      </c>
      <c r="H98" s="63" t="s">
        <v>13</v>
      </c>
      <c r="I98" s="43">
        <f>I99+I105+I109+I122+I127+I137+I139+I142+I149+I153+I155+I157</f>
        <v>0</v>
      </c>
      <c r="K98" s="54"/>
    </row>
    <row r="99" spans="1:76" x14ac:dyDescent="0.25">
      <c r="A99" s="60" t="s">
        <v>20</v>
      </c>
      <c r="B99" s="61" t="s">
        <v>50</v>
      </c>
      <c r="C99" s="61" t="s">
        <v>23</v>
      </c>
      <c r="D99" s="162" t="s">
        <v>24</v>
      </c>
      <c r="E99" s="163"/>
      <c r="F99" s="62" t="s">
        <v>13</v>
      </c>
      <c r="G99" s="62" t="s">
        <v>13</v>
      </c>
      <c r="H99" s="63" t="s">
        <v>13</v>
      </c>
      <c r="I99" s="43">
        <f>SUM(I100:I104)</f>
        <v>0</v>
      </c>
      <c r="K99" s="54"/>
      <c r="AI99" s="49" t="s">
        <v>50</v>
      </c>
      <c r="AS99" s="43">
        <f>SUM(AJ100:AJ104)</f>
        <v>0</v>
      </c>
      <c r="AT99" s="43">
        <f>SUM(AK100:AK104)</f>
        <v>0</v>
      </c>
      <c r="AU99" s="43">
        <f>SUM(AL100:AL104)</f>
        <v>0</v>
      </c>
    </row>
    <row r="100" spans="1:76" x14ac:dyDescent="0.25">
      <c r="A100" s="1" t="s">
        <v>366</v>
      </c>
      <c r="B100" s="2" t="s">
        <v>50</v>
      </c>
      <c r="C100" s="2" t="s">
        <v>169</v>
      </c>
      <c r="D100" s="81" t="s">
        <v>170</v>
      </c>
      <c r="E100" s="74"/>
      <c r="F100" s="2" t="s">
        <v>171</v>
      </c>
      <c r="G100" s="14">
        <v>26</v>
      </c>
      <c r="H100" s="64">
        <v>0</v>
      </c>
      <c r="I100" s="14">
        <f>G100*H100</f>
        <v>0</v>
      </c>
      <c r="K100" s="54"/>
      <c r="Z100" s="14">
        <f>IF(AQ100="5",BJ100,0)</f>
        <v>0</v>
      </c>
      <c r="AB100" s="14">
        <f>IF(AQ100="1",BH100,0)</f>
        <v>0</v>
      </c>
      <c r="AC100" s="14">
        <f>IF(AQ100="1",BI100,0)</f>
        <v>0</v>
      </c>
      <c r="AD100" s="14">
        <f>IF(AQ100="7",BH100,0)</f>
        <v>0</v>
      </c>
      <c r="AE100" s="14">
        <f>IF(AQ100="7",BI100,0)</f>
        <v>0</v>
      </c>
      <c r="AF100" s="14">
        <f>IF(AQ100="2",BH100,0)</f>
        <v>0</v>
      </c>
      <c r="AG100" s="14">
        <f>IF(AQ100="2",BI100,0)</f>
        <v>0</v>
      </c>
      <c r="AH100" s="14">
        <f>IF(AQ100="0",BJ100,0)</f>
        <v>0</v>
      </c>
      <c r="AI100" s="49" t="s">
        <v>50</v>
      </c>
      <c r="AJ100" s="14">
        <f>IF(AN100=0,I100,0)</f>
        <v>0</v>
      </c>
      <c r="AK100" s="14">
        <f>IF(AN100=12,I100,0)</f>
        <v>0</v>
      </c>
      <c r="AL100" s="14">
        <f>IF(AN100=21,I100,0)</f>
        <v>0</v>
      </c>
      <c r="AN100" s="14">
        <v>21</v>
      </c>
      <c r="AO100" s="14">
        <f>H100*0</f>
        <v>0</v>
      </c>
      <c r="AP100" s="14">
        <f>H100*(1-0)</f>
        <v>0</v>
      </c>
      <c r="AQ100" s="65" t="s">
        <v>168</v>
      </c>
      <c r="AV100" s="14">
        <f>AW100+AX100</f>
        <v>0</v>
      </c>
      <c r="AW100" s="14">
        <f>G100*AO100</f>
        <v>0</v>
      </c>
      <c r="AX100" s="14">
        <f>G100*AP100</f>
        <v>0</v>
      </c>
      <c r="AY100" s="65" t="s">
        <v>172</v>
      </c>
      <c r="AZ100" s="65" t="s">
        <v>367</v>
      </c>
      <c r="BA100" s="49" t="s">
        <v>368</v>
      </c>
      <c r="BC100" s="14">
        <f>AW100+AX100</f>
        <v>0</v>
      </c>
      <c r="BD100" s="14">
        <f>H100/(100-BE100)*100</f>
        <v>0</v>
      </c>
      <c r="BE100" s="14">
        <v>0</v>
      </c>
      <c r="BF100" s="14">
        <f>100</f>
        <v>100</v>
      </c>
      <c r="BH100" s="14">
        <f>G100*AO100</f>
        <v>0</v>
      </c>
      <c r="BI100" s="14">
        <f>G100*AP100</f>
        <v>0</v>
      </c>
      <c r="BJ100" s="14">
        <f>G100*H100</f>
        <v>0</v>
      </c>
      <c r="BK100" s="14"/>
      <c r="BL100" s="14">
        <v>11</v>
      </c>
      <c r="BW100" s="14">
        <v>21</v>
      </c>
      <c r="BX100" s="3" t="s">
        <v>170</v>
      </c>
    </row>
    <row r="101" spans="1:76" ht="25.5" x14ac:dyDescent="0.25">
      <c r="A101" s="1" t="s">
        <v>369</v>
      </c>
      <c r="B101" s="2" t="s">
        <v>50</v>
      </c>
      <c r="C101" s="2" t="s">
        <v>370</v>
      </c>
      <c r="D101" s="81" t="s">
        <v>371</v>
      </c>
      <c r="E101" s="74"/>
      <c r="F101" s="2" t="s">
        <v>171</v>
      </c>
      <c r="G101" s="14">
        <v>21</v>
      </c>
      <c r="H101" s="64">
        <v>0</v>
      </c>
      <c r="I101" s="14">
        <f>G101*H101</f>
        <v>0</v>
      </c>
      <c r="K101" s="54"/>
      <c r="Z101" s="14">
        <f>IF(AQ101="5",BJ101,0)</f>
        <v>0</v>
      </c>
      <c r="AB101" s="14">
        <f>IF(AQ101="1",BH101,0)</f>
        <v>0</v>
      </c>
      <c r="AC101" s="14">
        <f>IF(AQ101="1",BI101,0)</f>
        <v>0</v>
      </c>
      <c r="AD101" s="14">
        <f>IF(AQ101="7",BH101,0)</f>
        <v>0</v>
      </c>
      <c r="AE101" s="14">
        <f>IF(AQ101="7",BI101,0)</f>
        <v>0</v>
      </c>
      <c r="AF101" s="14">
        <f>IF(AQ101="2",BH101,0)</f>
        <v>0</v>
      </c>
      <c r="AG101" s="14">
        <f>IF(AQ101="2",BI101,0)</f>
        <v>0</v>
      </c>
      <c r="AH101" s="14">
        <f>IF(AQ101="0",BJ101,0)</f>
        <v>0</v>
      </c>
      <c r="AI101" s="49" t="s">
        <v>50</v>
      </c>
      <c r="AJ101" s="14">
        <f>IF(AN101=0,I101,0)</f>
        <v>0</v>
      </c>
      <c r="AK101" s="14">
        <f>IF(AN101=12,I101,0)</f>
        <v>0</v>
      </c>
      <c r="AL101" s="14">
        <f>IF(AN101=21,I101,0)</f>
        <v>0</v>
      </c>
      <c r="AN101" s="14">
        <v>21</v>
      </c>
      <c r="AO101" s="14">
        <f>H101*0</f>
        <v>0</v>
      </c>
      <c r="AP101" s="14">
        <f>H101*(1-0)</f>
        <v>0</v>
      </c>
      <c r="AQ101" s="65" t="s">
        <v>168</v>
      </c>
      <c r="AV101" s="14">
        <f>AW101+AX101</f>
        <v>0</v>
      </c>
      <c r="AW101" s="14">
        <f>G101*AO101</f>
        <v>0</v>
      </c>
      <c r="AX101" s="14">
        <f>G101*AP101</f>
        <v>0</v>
      </c>
      <c r="AY101" s="65" t="s">
        <v>172</v>
      </c>
      <c r="AZ101" s="65" t="s">
        <v>367</v>
      </c>
      <c r="BA101" s="49" t="s">
        <v>368</v>
      </c>
      <c r="BC101" s="14">
        <f>AW101+AX101</f>
        <v>0</v>
      </c>
      <c r="BD101" s="14">
        <f>H101/(100-BE101)*100</f>
        <v>0</v>
      </c>
      <c r="BE101" s="14">
        <v>0</v>
      </c>
      <c r="BF101" s="14">
        <f>101</f>
        <v>101</v>
      </c>
      <c r="BH101" s="14">
        <f>G101*AO101</f>
        <v>0</v>
      </c>
      <c r="BI101" s="14">
        <f>G101*AP101</f>
        <v>0</v>
      </c>
      <c r="BJ101" s="14">
        <f>G101*H101</f>
        <v>0</v>
      </c>
      <c r="BK101" s="14"/>
      <c r="BL101" s="14">
        <v>11</v>
      </c>
      <c r="BW101" s="14">
        <v>21</v>
      </c>
      <c r="BX101" s="3" t="s">
        <v>371</v>
      </c>
    </row>
    <row r="102" spans="1:76" ht="25.5" x14ac:dyDescent="0.25">
      <c r="A102" s="1" t="s">
        <v>372</v>
      </c>
      <c r="B102" s="2" t="s">
        <v>50</v>
      </c>
      <c r="C102" s="2" t="s">
        <v>373</v>
      </c>
      <c r="D102" s="81" t="s">
        <v>374</v>
      </c>
      <c r="E102" s="74"/>
      <c r="F102" s="2" t="s">
        <v>333</v>
      </c>
      <c r="G102" s="14">
        <v>1</v>
      </c>
      <c r="H102" s="64">
        <v>0</v>
      </c>
      <c r="I102" s="14">
        <f>G102*H102</f>
        <v>0</v>
      </c>
      <c r="K102" s="54"/>
      <c r="Z102" s="14">
        <f>IF(AQ102="5",BJ102,0)</f>
        <v>0</v>
      </c>
      <c r="AB102" s="14">
        <f>IF(AQ102="1",BH102,0)</f>
        <v>0</v>
      </c>
      <c r="AC102" s="14">
        <f>IF(AQ102="1",BI102,0)</f>
        <v>0</v>
      </c>
      <c r="AD102" s="14">
        <f>IF(AQ102="7",BH102,0)</f>
        <v>0</v>
      </c>
      <c r="AE102" s="14">
        <f>IF(AQ102="7",BI102,0)</f>
        <v>0</v>
      </c>
      <c r="AF102" s="14">
        <f>IF(AQ102="2",BH102,0)</f>
        <v>0</v>
      </c>
      <c r="AG102" s="14">
        <f>IF(AQ102="2",BI102,0)</f>
        <v>0</v>
      </c>
      <c r="AH102" s="14">
        <f>IF(AQ102="0",BJ102,0)</f>
        <v>0</v>
      </c>
      <c r="AI102" s="49" t="s">
        <v>50</v>
      </c>
      <c r="AJ102" s="14">
        <f>IF(AN102=0,I102,0)</f>
        <v>0</v>
      </c>
      <c r="AK102" s="14">
        <f>IF(AN102=12,I102,0)</f>
        <v>0</v>
      </c>
      <c r="AL102" s="14">
        <f>IF(AN102=21,I102,0)</f>
        <v>0</v>
      </c>
      <c r="AN102" s="14">
        <v>21</v>
      </c>
      <c r="AO102" s="14">
        <f>H102*0</f>
        <v>0</v>
      </c>
      <c r="AP102" s="14">
        <f>H102*(1-0)</f>
        <v>0</v>
      </c>
      <c r="AQ102" s="65" t="s">
        <v>168</v>
      </c>
      <c r="AV102" s="14">
        <f>AW102+AX102</f>
        <v>0</v>
      </c>
      <c r="AW102" s="14">
        <f>G102*AO102</f>
        <v>0</v>
      </c>
      <c r="AX102" s="14">
        <f>G102*AP102</f>
        <v>0</v>
      </c>
      <c r="AY102" s="65" t="s">
        <v>172</v>
      </c>
      <c r="AZ102" s="65" t="s">
        <v>367</v>
      </c>
      <c r="BA102" s="49" t="s">
        <v>368</v>
      </c>
      <c r="BC102" s="14">
        <f>AW102+AX102</f>
        <v>0</v>
      </c>
      <c r="BD102" s="14">
        <f>H102/(100-BE102)*100</f>
        <v>0</v>
      </c>
      <c r="BE102" s="14">
        <v>0</v>
      </c>
      <c r="BF102" s="14">
        <f>102</f>
        <v>102</v>
      </c>
      <c r="BH102" s="14">
        <f>G102*AO102</f>
        <v>0</v>
      </c>
      <c r="BI102" s="14">
        <f>G102*AP102</f>
        <v>0</v>
      </c>
      <c r="BJ102" s="14">
        <f>G102*H102</f>
        <v>0</v>
      </c>
      <c r="BK102" s="14"/>
      <c r="BL102" s="14">
        <v>11</v>
      </c>
      <c r="BW102" s="14">
        <v>21</v>
      </c>
      <c r="BX102" s="3" t="s">
        <v>374</v>
      </c>
    </row>
    <row r="103" spans="1:76" ht="25.5" x14ac:dyDescent="0.25">
      <c r="A103" s="1" t="s">
        <v>375</v>
      </c>
      <c r="B103" s="2" t="s">
        <v>50</v>
      </c>
      <c r="C103" s="2" t="s">
        <v>376</v>
      </c>
      <c r="D103" s="81" t="s">
        <v>377</v>
      </c>
      <c r="E103" s="74"/>
      <c r="F103" s="2" t="s">
        <v>333</v>
      </c>
      <c r="G103" s="14">
        <v>1</v>
      </c>
      <c r="H103" s="64">
        <v>0</v>
      </c>
      <c r="I103" s="14">
        <f>G103*H103</f>
        <v>0</v>
      </c>
      <c r="K103" s="54"/>
      <c r="Z103" s="14">
        <f>IF(AQ103="5",BJ103,0)</f>
        <v>0</v>
      </c>
      <c r="AB103" s="14">
        <f>IF(AQ103="1",BH103,0)</f>
        <v>0</v>
      </c>
      <c r="AC103" s="14">
        <f>IF(AQ103="1",BI103,0)</f>
        <v>0</v>
      </c>
      <c r="AD103" s="14">
        <f>IF(AQ103="7",BH103,0)</f>
        <v>0</v>
      </c>
      <c r="AE103" s="14">
        <f>IF(AQ103="7",BI103,0)</f>
        <v>0</v>
      </c>
      <c r="AF103" s="14">
        <f>IF(AQ103="2",BH103,0)</f>
        <v>0</v>
      </c>
      <c r="AG103" s="14">
        <f>IF(AQ103="2",BI103,0)</f>
        <v>0</v>
      </c>
      <c r="AH103" s="14">
        <f>IF(AQ103="0",BJ103,0)</f>
        <v>0</v>
      </c>
      <c r="AI103" s="49" t="s">
        <v>50</v>
      </c>
      <c r="AJ103" s="14">
        <f>IF(AN103=0,I103,0)</f>
        <v>0</v>
      </c>
      <c r="AK103" s="14">
        <f>IF(AN103=12,I103,0)</f>
        <v>0</v>
      </c>
      <c r="AL103" s="14">
        <f>IF(AN103=21,I103,0)</f>
        <v>0</v>
      </c>
      <c r="AN103" s="14">
        <v>21</v>
      </c>
      <c r="AO103" s="14">
        <f>H103*0</f>
        <v>0</v>
      </c>
      <c r="AP103" s="14">
        <f>H103*(1-0)</f>
        <v>0</v>
      </c>
      <c r="AQ103" s="65" t="s">
        <v>168</v>
      </c>
      <c r="AV103" s="14">
        <f>AW103+AX103</f>
        <v>0</v>
      </c>
      <c r="AW103" s="14">
        <f>G103*AO103</f>
        <v>0</v>
      </c>
      <c r="AX103" s="14">
        <f>G103*AP103</f>
        <v>0</v>
      </c>
      <c r="AY103" s="65" t="s">
        <v>172</v>
      </c>
      <c r="AZ103" s="65" t="s">
        <v>367</v>
      </c>
      <c r="BA103" s="49" t="s">
        <v>368</v>
      </c>
      <c r="BC103" s="14">
        <f>AW103+AX103</f>
        <v>0</v>
      </c>
      <c r="BD103" s="14">
        <f>H103/(100-BE103)*100</f>
        <v>0</v>
      </c>
      <c r="BE103" s="14">
        <v>0</v>
      </c>
      <c r="BF103" s="14">
        <f>103</f>
        <v>103</v>
      </c>
      <c r="BH103" s="14">
        <f>G103*AO103</f>
        <v>0</v>
      </c>
      <c r="BI103" s="14">
        <f>G103*AP103</f>
        <v>0</v>
      </c>
      <c r="BJ103" s="14">
        <f>G103*H103</f>
        <v>0</v>
      </c>
      <c r="BK103" s="14"/>
      <c r="BL103" s="14">
        <v>11</v>
      </c>
      <c r="BW103" s="14">
        <v>21</v>
      </c>
      <c r="BX103" s="3" t="s">
        <v>377</v>
      </c>
    </row>
    <row r="104" spans="1:76" ht="25.5" x14ac:dyDescent="0.25">
      <c r="A104" s="1" t="s">
        <v>378</v>
      </c>
      <c r="B104" s="2" t="s">
        <v>50</v>
      </c>
      <c r="C104" s="2" t="s">
        <v>379</v>
      </c>
      <c r="D104" s="81" t="s">
        <v>380</v>
      </c>
      <c r="E104" s="74"/>
      <c r="F104" s="2" t="s">
        <v>264</v>
      </c>
      <c r="G104" s="14">
        <v>11</v>
      </c>
      <c r="H104" s="64">
        <v>0</v>
      </c>
      <c r="I104" s="14">
        <f>G104*H104</f>
        <v>0</v>
      </c>
      <c r="K104" s="54"/>
      <c r="Z104" s="14">
        <f>IF(AQ104="5",BJ104,0)</f>
        <v>0</v>
      </c>
      <c r="AB104" s="14">
        <f>IF(AQ104="1",BH104,0)</f>
        <v>0</v>
      </c>
      <c r="AC104" s="14">
        <f>IF(AQ104="1",BI104,0)</f>
        <v>0</v>
      </c>
      <c r="AD104" s="14">
        <f>IF(AQ104="7",BH104,0)</f>
        <v>0</v>
      </c>
      <c r="AE104" s="14">
        <f>IF(AQ104="7",BI104,0)</f>
        <v>0</v>
      </c>
      <c r="AF104" s="14">
        <f>IF(AQ104="2",BH104,0)</f>
        <v>0</v>
      </c>
      <c r="AG104" s="14">
        <f>IF(AQ104="2",BI104,0)</f>
        <v>0</v>
      </c>
      <c r="AH104" s="14">
        <f>IF(AQ104="0",BJ104,0)</f>
        <v>0</v>
      </c>
      <c r="AI104" s="49" t="s">
        <v>50</v>
      </c>
      <c r="AJ104" s="14">
        <f>IF(AN104=0,I104,0)</f>
        <v>0</v>
      </c>
      <c r="AK104" s="14">
        <f>IF(AN104=12,I104,0)</f>
        <v>0</v>
      </c>
      <c r="AL104" s="14">
        <f>IF(AN104=21,I104,0)</f>
        <v>0</v>
      </c>
      <c r="AN104" s="14">
        <v>21</v>
      </c>
      <c r="AO104" s="14">
        <f>H104*0</f>
        <v>0</v>
      </c>
      <c r="AP104" s="14">
        <f>H104*(1-0)</f>
        <v>0</v>
      </c>
      <c r="AQ104" s="65" t="s">
        <v>168</v>
      </c>
      <c r="AV104" s="14">
        <f>AW104+AX104</f>
        <v>0</v>
      </c>
      <c r="AW104" s="14">
        <f>G104*AO104</f>
        <v>0</v>
      </c>
      <c r="AX104" s="14">
        <f>G104*AP104</f>
        <v>0</v>
      </c>
      <c r="AY104" s="65" t="s">
        <v>172</v>
      </c>
      <c r="AZ104" s="65" t="s">
        <v>367</v>
      </c>
      <c r="BA104" s="49" t="s">
        <v>368</v>
      </c>
      <c r="BC104" s="14">
        <f>AW104+AX104</f>
        <v>0</v>
      </c>
      <c r="BD104" s="14">
        <f>H104/(100-BE104)*100</f>
        <v>0</v>
      </c>
      <c r="BE104" s="14">
        <v>0</v>
      </c>
      <c r="BF104" s="14">
        <f>104</f>
        <v>104</v>
      </c>
      <c r="BH104" s="14">
        <f>G104*AO104</f>
        <v>0</v>
      </c>
      <c r="BI104" s="14">
        <f>G104*AP104</f>
        <v>0</v>
      </c>
      <c r="BJ104" s="14">
        <f>G104*H104</f>
        <v>0</v>
      </c>
      <c r="BK104" s="14"/>
      <c r="BL104" s="14">
        <v>11</v>
      </c>
      <c r="BW104" s="14">
        <v>21</v>
      </c>
      <c r="BX104" s="3" t="s">
        <v>380</v>
      </c>
    </row>
    <row r="105" spans="1:76" x14ac:dyDescent="0.25">
      <c r="A105" s="60" t="s">
        <v>20</v>
      </c>
      <c r="B105" s="61" t="s">
        <v>50</v>
      </c>
      <c r="C105" s="61" t="s">
        <v>26</v>
      </c>
      <c r="D105" s="162" t="s">
        <v>27</v>
      </c>
      <c r="E105" s="163"/>
      <c r="F105" s="62" t="s">
        <v>13</v>
      </c>
      <c r="G105" s="62" t="s">
        <v>13</v>
      </c>
      <c r="H105" s="63" t="s">
        <v>13</v>
      </c>
      <c r="I105" s="43">
        <f>SUM(I106:I108)</f>
        <v>0</v>
      </c>
      <c r="K105" s="54"/>
      <c r="AI105" s="49" t="s">
        <v>50</v>
      </c>
      <c r="AS105" s="43">
        <f>SUM(AJ106:AJ108)</f>
        <v>0</v>
      </c>
      <c r="AT105" s="43">
        <f>SUM(AK106:AK108)</f>
        <v>0</v>
      </c>
      <c r="AU105" s="43">
        <f>SUM(AL106:AL108)</f>
        <v>0</v>
      </c>
    </row>
    <row r="106" spans="1:76" ht="25.5" x14ac:dyDescent="0.25">
      <c r="A106" s="1" t="s">
        <v>381</v>
      </c>
      <c r="B106" s="2" t="s">
        <v>50</v>
      </c>
      <c r="C106" s="2" t="s">
        <v>188</v>
      </c>
      <c r="D106" s="81" t="s">
        <v>189</v>
      </c>
      <c r="E106" s="74"/>
      <c r="F106" s="2" t="s">
        <v>190</v>
      </c>
      <c r="G106" s="14">
        <v>7.44</v>
      </c>
      <c r="H106" s="64">
        <v>0</v>
      </c>
      <c r="I106" s="14">
        <f>G106*H106</f>
        <v>0</v>
      </c>
      <c r="K106" s="54"/>
      <c r="Z106" s="14">
        <f>IF(AQ106="5",BJ106,0)</f>
        <v>0</v>
      </c>
      <c r="AB106" s="14">
        <f>IF(AQ106="1",BH106,0)</f>
        <v>0</v>
      </c>
      <c r="AC106" s="14">
        <f>IF(AQ106="1",BI106,0)</f>
        <v>0</v>
      </c>
      <c r="AD106" s="14">
        <f>IF(AQ106="7",BH106,0)</f>
        <v>0</v>
      </c>
      <c r="AE106" s="14">
        <f>IF(AQ106="7",BI106,0)</f>
        <v>0</v>
      </c>
      <c r="AF106" s="14">
        <f>IF(AQ106="2",BH106,0)</f>
        <v>0</v>
      </c>
      <c r="AG106" s="14">
        <f>IF(AQ106="2",BI106,0)</f>
        <v>0</v>
      </c>
      <c r="AH106" s="14">
        <f>IF(AQ106="0",BJ106,0)</f>
        <v>0</v>
      </c>
      <c r="AI106" s="49" t="s">
        <v>50</v>
      </c>
      <c r="AJ106" s="14">
        <f>IF(AN106=0,I106,0)</f>
        <v>0</v>
      </c>
      <c r="AK106" s="14">
        <f>IF(AN106=12,I106,0)</f>
        <v>0</v>
      </c>
      <c r="AL106" s="14">
        <f>IF(AN106=21,I106,0)</f>
        <v>0</v>
      </c>
      <c r="AN106" s="14">
        <v>21</v>
      </c>
      <c r="AO106" s="14">
        <f>H106*0</f>
        <v>0</v>
      </c>
      <c r="AP106" s="14">
        <f>H106*(1-0)</f>
        <v>0</v>
      </c>
      <c r="AQ106" s="65" t="s">
        <v>168</v>
      </c>
      <c r="AV106" s="14">
        <f>AW106+AX106</f>
        <v>0</v>
      </c>
      <c r="AW106" s="14">
        <f>G106*AO106</f>
        <v>0</v>
      </c>
      <c r="AX106" s="14">
        <f>G106*AP106</f>
        <v>0</v>
      </c>
      <c r="AY106" s="65" t="s">
        <v>191</v>
      </c>
      <c r="AZ106" s="65" t="s">
        <v>367</v>
      </c>
      <c r="BA106" s="49" t="s">
        <v>368</v>
      </c>
      <c r="BC106" s="14">
        <f>AW106+AX106</f>
        <v>0</v>
      </c>
      <c r="BD106" s="14">
        <f>H106/(100-BE106)*100</f>
        <v>0</v>
      </c>
      <c r="BE106" s="14">
        <v>0</v>
      </c>
      <c r="BF106" s="14">
        <f>106</f>
        <v>106</v>
      </c>
      <c r="BH106" s="14">
        <f>G106*AO106</f>
        <v>0</v>
      </c>
      <c r="BI106" s="14">
        <f>G106*AP106</f>
        <v>0</v>
      </c>
      <c r="BJ106" s="14">
        <f>G106*H106</f>
        <v>0</v>
      </c>
      <c r="BK106" s="14"/>
      <c r="BL106" s="14">
        <v>12</v>
      </c>
      <c r="BW106" s="14">
        <v>21</v>
      </c>
      <c r="BX106" s="3" t="s">
        <v>189</v>
      </c>
    </row>
    <row r="107" spans="1:76" x14ac:dyDescent="0.25">
      <c r="A107" s="1" t="s">
        <v>382</v>
      </c>
      <c r="B107" s="2" t="s">
        <v>50</v>
      </c>
      <c r="C107" s="2" t="s">
        <v>193</v>
      </c>
      <c r="D107" s="81" t="s">
        <v>194</v>
      </c>
      <c r="E107" s="74"/>
      <c r="F107" s="2" t="s">
        <v>171</v>
      </c>
      <c r="G107" s="14">
        <v>35</v>
      </c>
      <c r="H107" s="64">
        <v>0</v>
      </c>
      <c r="I107" s="14">
        <f>G107*H107</f>
        <v>0</v>
      </c>
      <c r="K107" s="54"/>
      <c r="Z107" s="14">
        <f>IF(AQ107="5",BJ107,0)</f>
        <v>0</v>
      </c>
      <c r="AB107" s="14">
        <f>IF(AQ107="1",BH107,0)</f>
        <v>0</v>
      </c>
      <c r="AC107" s="14">
        <f>IF(AQ107="1",BI107,0)</f>
        <v>0</v>
      </c>
      <c r="AD107" s="14">
        <f>IF(AQ107="7",BH107,0)</f>
        <v>0</v>
      </c>
      <c r="AE107" s="14">
        <f>IF(AQ107="7",BI107,0)</f>
        <v>0</v>
      </c>
      <c r="AF107" s="14">
        <f>IF(AQ107="2",BH107,0)</f>
        <v>0</v>
      </c>
      <c r="AG107" s="14">
        <f>IF(AQ107="2",BI107,0)</f>
        <v>0</v>
      </c>
      <c r="AH107" s="14">
        <f>IF(AQ107="0",BJ107,0)</f>
        <v>0</v>
      </c>
      <c r="AI107" s="49" t="s">
        <v>50</v>
      </c>
      <c r="AJ107" s="14">
        <f>IF(AN107=0,I107,0)</f>
        <v>0</v>
      </c>
      <c r="AK107" s="14">
        <f>IF(AN107=12,I107,0)</f>
        <v>0</v>
      </c>
      <c r="AL107" s="14">
        <f>IF(AN107=21,I107,0)</f>
        <v>0</v>
      </c>
      <c r="AN107" s="14">
        <v>21</v>
      </c>
      <c r="AO107" s="14">
        <f>H107*0</f>
        <v>0</v>
      </c>
      <c r="AP107" s="14">
        <f>H107*(1-0)</f>
        <v>0</v>
      </c>
      <c r="AQ107" s="65" t="s">
        <v>168</v>
      </c>
      <c r="AV107" s="14">
        <f>AW107+AX107</f>
        <v>0</v>
      </c>
      <c r="AW107" s="14">
        <f>G107*AO107</f>
        <v>0</v>
      </c>
      <c r="AX107" s="14">
        <f>G107*AP107</f>
        <v>0</v>
      </c>
      <c r="AY107" s="65" t="s">
        <v>191</v>
      </c>
      <c r="AZ107" s="65" t="s">
        <v>367</v>
      </c>
      <c r="BA107" s="49" t="s">
        <v>368</v>
      </c>
      <c r="BC107" s="14">
        <f>AW107+AX107</f>
        <v>0</v>
      </c>
      <c r="BD107" s="14">
        <f>H107/(100-BE107)*100</f>
        <v>0</v>
      </c>
      <c r="BE107" s="14">
        <v>0</v>
      </c>
      <c r="BF107" s="14">
        <f>107</f>
        <v>107</v>
      </c>
      <c r="BH107" s="14">
        <f>G107*AO107</f>
        <v>0</v>
      </c>
      <c r="BI107" s="14">
        <f>G107*AP107</f>
        <v>0</v>
      </c>
      <c r="BJ107" s="14">
        <f>G107*H107</f>
        <v>0</v>
      </c>
      <c r="BK107" s="14"/>
      <c r="BL107" s="14">
        <v>12</v>
      </c>
      <c r="BW107" s="14">
        <v>21</v>
      </c>
      <c r="BX107" s="3" t="s">
        <v>194</v>
      </c>
    </row>
    <row r="108" spans="1:76" ht="25.5" x14ac:dyDescent="0.25">
      <c r="A108" s="1" t="s">
        <v>383</v>
      </c>
      <c r="B108" s="2" t="s">
        <v>50</v>
      </c>
      <c r="C108" s="2" t="s">
        <v>196</v>
      </c>
      <c r="D108" s="81" t="s">
        <v>197</v>
      </c>
      <c r="E108" s="74"/>
      <c r="F108" s="2" t="s">
        <v>190</v>
      </c>
      <c r="G108" s="14">
        <v>7.44</v>
      </c>
      <c r="H108" s="64">
        <v>0</v>
      </c>
      <c r="I108" s="14">
        <f>G108*H108</f>
        <v>0</v>
      </c>
      <c r="K108" s="54"/>
      <c r="Z108" s="14">
        <f>IF(AQ108="5",BJ108,0)</f>
        <v>0</v>
      </c>
      <c r="AB108" s="14">
        <f>IF(AQ108="1",BH108,0)</f>
        <v>0</v>
      </c>
      <c r="AC108" s="14">
        <f>IF(AQ108="1",BI108,0)</f>
        <v>0</v>
      </c>
      <c r="AD108" s="14">
        <f>IF(AQ108="7",BH108,0)</f>
        <v>0</v>
      </c>
      <c r="AE108" s="14">
        <f>IF(AQ108="7",BI108,0)</f>
        <v>0</v>
      </c>
      <c r="AF108" s="14">
        <f>IF(AQ108="2",BH108,0)</f>
        <v>0</v>
      </c>
      <c r="AG108" s="14">
        <f>IF(AQ108="2",BI108,0)</f>
        <v>0</v>
      </c>
      <c r="AH108" s="14">
        <f>IF(AQ108="0",BJ108,0)</f>
        <v>0</v>
      </c>
      <c r="AI108" s="49" t="s">
        <v>50</v>
      </c>
      <c r="AJ108" s="14">
        <f>IF(AN108=0,I108,0)</f>
        <v>0</v>
      </c>
      <c r="AK108" s="14">
        <f>IF(AN108=12,I108,0)</f>
        <v>0</v>
      </c>
      <c r="AL108" s="14">
        <f>IF(AN108=21,I108,0)</f>
        <v>0</v>
      </c>
      <c r="AN108" s="14">
        <v>21</v>
      </c>
      <c r="AO108" s="14">
        <f>H108*0</f>
        <v>0</v>
      </c>
      <c r="AP108" s="14">
        <f>H108*(1-0)</f>
        <v>0</v>
      </c>
      <c r="AQ108" s="65" t="s">
        <v>168</v>
      </c>
      <c r="AV108" s="14">
        <f>AW108+AX108</f>
        <v>0</v>
      </c>
      <c r="AW108" s="14">
        <f>G108*AO108</f>
        <v>0</v>
      </c>
      <c r="AX108" s="14">
        <f>G108*AP108</f>
        <v>0</v>
      </c>
      <c r="AY108" s="65" t="s">
        <v>191</v>
      </c>
      <c r="AZ108" s="65" t="s">
        <v>367</v>
      </c>
      <c r="BA108" s="49" t="s">
        <v>368</v>
      </c>
      <c r="BC108" s="14">
        <f>AW108+AX108</f>
        <v>0</v>
      </c>
      <c r="BD108" s="14">
        <f>H108/(100-BE108)*100</f>
        <v>0</v>
      </c>
      <c r="BE108" s="14">
        <v>0</v>
      </c>
      <c r="BF108" s="14">
        <f>108</f>
        <v>108</v>
      </c>
      <c r="BH108" s="14">
        <f>G108*AO108</f>
        <v>0</v>
      </c>
      <c r="BI108" s="14">
        <f>G108*AP108</f>
        <v>0</v>
      </c>
      <c r="BJ108" s="14">
        <f>G108*H108</f>
        <v>0</v>
      </c>
      <c r="BK108" s="14"/>
      <c r="BL108" s="14">
        <v>12</v>
      </c>
      <c r="BW108" s="14">
        <v>21</v>
      </c>
      <c r="BX108" s="3" t="s">
        <v>197</v>
      </c>
    </row>
    <row r="109" spans="1:76" x14ac:dyDescent="0.25">
      <c r="A109" s="60" t="s">
        <v>20</v>
      </c>
      <c r="B109" s="61" t="s">
        <v>50</v>
      </c>
      <c r="C109" s="61" t="s">
        <v>28</v>
      </c>
      <c r="D109" s="162" t="s">
        <v>29</v>
      </c>
      <c r="E109" s="163"/>
      <c r="F109" s="62" t="s">
        <v>13</v>
      </c>
      <c r="G109" s="62" t="s">
        <v>13</v>
      </c>
      <c r="H109" s="63" t="s">
        <v>13</v>
      </c>
      <c r="I109" s="43">
        <f>SUM(I110:I121)</f>
        <v>0</v>
      </c>
      <c r="K109" s="54"/>
      <c r="AI109" s="49" t="s">
        <v>50</v>
      </c>
      <c r="AS109" s="43">
        <f>SUM(AJ110:AJ121)</f>
        <v>0</v>
      </c>
      <c r="AT109" s="43">
        <f>SUM(AK110:AK121)</f>
        <v>0</v>
      </c>
      <c r="AU109" s="43">
        <f>SUM(AL110:AL121)</f>
        <v>0</v>
      </c>
    </row>
    <row r="110" spans="1:76" ht="25.5" x14ac:dyDescent="0.25">
      <c r="A110" s="1" t="s">
        <v>384</v>
      </c>
      <c r="B110" s="2" t="s">
        <v>50</v>
      </c>
      <c r="C110" s="2" t="s">
        <v>385</v>
      </c>
      <c r="D110" s="81" t="s">
        <v>386</v>
      </c>
      <c r="E110" s="74"/>
      <c r="F110" s="2" t="s">
        <v>333</v>
      </c>
      <c r="G110" s="14">
        <v>1</v>
      </c>
      <c r="H110" s="64">
        <v>0</v>
      </c>
      <c r="I110" s="14">
        <f t="shared" ref="I110:I121" si="84">G110*H110</f>
        <v>0</v>
      </c>
      <c r="K110" s="54"/>
      <c r="Z110" s="14">
        <f t="shared" ref="Z110:Z121" si="85">IF(AQ110="5",BJ110,0)</f>
        <v>0</v>
      </c>
      <c r="AB110" s="14">
        <f t="shared" ref="AB110:AB121" si="86">IF(AQ110="1",BH110,0)</f>
        <v>0</v>
      </c>
      <c r="AC110" s="14">
        <f t="shared" ref="AC110:AC121" si="87">IF(AQ110="1",BI110,0)</f>
        <v>0</v>
      </c>
      <c r="AD110" s="14">
        <f t="shared" ref="AD110:AD121" si="88">IF(AQ110="7",BH110,0)</f>
        <v>0</v>
      </c>
      <c r="AE110" s="14">
        <f t="shared" ref="AE110:AE121" si="89">IF(AQ110="7",BI110,0)</f>
        <v>0</v>
      </c>
      <c r="AF110" s="14">
        <f t="shared" ref="AF110:AF121" si="90">IF(AQ110="2",BH110,0)</f>
        <v>0</v>
      </c>
      <c r="AG110" s="14">
        <f t="shared" ref="AG110:AG121" si="91">IF(AQ110="2",BI110,0)</f>
        <v>0</v>
      </c>
      <c r="AH110" s="14">
        <f t="shared" ref="AH110:AH121" si="92">IF(AQ110="0",BJ110,0)</f>
        <v>0</v>
      </c>
      <c r="AI110" s="49" t="s">
        <v>50</v>
      </c>
      <c r="AJ110" s="14">
        <f t="shared" ref="AJ110:AJ121" si="93">IF(AN110=0,I110,0)</f>
        <v>0</v>
      </c>
      <c r="AK110" s="14">
        <f t="shared" ref="AK110:AK121" si="94">IF(AN110=12,I110,0)</f>
        <v>0</v>
      </c>
      <c r="AL110" s="14">
        <f t="shared" ref="AL110:AL121" si="95">IF(AN110=21,I110,0)</f>
        <v>0</v>
      </c>
      <c r="AN110" s="14">
        <v>21</v>
      </c>
      <c r="AO110" s="14">
        <f t="shared" ref="AO110:AO121" si="96">H110*0</f>
        <v>0</v>
      </c>
      <c r="AP110" s="14">
        <f t="shared" ref="AP110:AP121" si="97">H110*(1-0)</f>
        <v>0</v>
      </c>
      <c r="AQ110" s="65" t="s">
        <v>168</v>
      </c>
      <c r="AV110" s="14">
        <f t="shared" ref="AV110:AV121" si="98">AW110+AX110</f>
        <v>0</v>
      </c>
      <c r="AW110" s="14">
        <f t="shared" ref="AW110:AW121" si="99">G110*AO110</f>
        <v>0</v>
      </c>
      <c r="AX110" s="14">
        <f t="shared" ref="AX110:AX121" si="100">G110*AP110</f>
        <v>0</v>
      </c>
      <c r="AY110" s="65" t="s">
        <v>201</v>
      </c>
      <c r="AZ110" s="65" t="s">
        <v>367</v>
      </c>
      <c r="BA110" s="49" t="s">
        <v>368</v>
      </c>
      <c r="BC110" s="14">
        <f t="shared" ref="BC110:BC121" si="101">AW110+AX110</f>
        <v>0</v>
      </c>
      <c r="BD110" s="14">
        <f t="shared" ref="BD110:BD121" si="102">H110/(100-BE110)*100</f>
        <v>0</v>
      </c>
      <c r="BE110" s="14">
        <v>0</v>
      </c>
      <c r="BF110" s="14">
        <f>110</f>
        <v>110</v>
      </c>
      <c r="BH110" s="14">
        <f t="shared" ref="BH110:BH121" si="103">G110*AO110</f>
        <v>0</v>
      </c>
      <c r="BI110" s="14">
        <f t="shared" ref="BI110:BI121" si="104">G110*AP110</f>
        <v>0</v>
      </c>
      <c r="BJ110" s="14">
        <f t="shared" ref="BJ110:BJ121" si="105">G110*H110</f>
        <v>0</v>
      </c>
      <c r="BK110" s="14"/>
      <c r="BL110" s="14">
        <v>16</v>
      </c>
      <c r="BW110" s="14">
        <v>21</v>
      </c>
      <c r="BX110" s="3" t="s">
        <v>386</v>
      </c>
    </row>
    <row r="111" spans="1:76" ht="25.5" x14ac:dyDescent="0.25">
      <c r="A111" s="1" t="s">
        <v>387</v>
      </c>
      <c r="B111" s="2" t="s">
        <v>50</v>
      </c>
      <c r="C111" s="2" t="s">
        <v>388</v>
      </c>
      <c r="D111" s="81" t="s">
        <v>389</v>
      </c>
      <c r="E111" s="74"/>
      <c r="F111" s="2" t="s">
        <v>333</v>
      </c>
      <c r="G111" s="14">
        <v>1</v>
      </c>
      <c r="H111" s="64">
        <v>0</v>
      </c>
      <c r="I111" s="14">
        <f t="shared" si="84"/>
        <v>0</v>
      </c>
      <c r="K111" s="54"/>
      <c r="Z111" s="14">
        <f t="shared" si="85"/>
        <v>0</v>
      </c>
      <c r="AB111" s="14">
        <f t="shared" si="86"/>
        <v>0</v>
      </c>
      <c r="AC111" s="14">
        <f t="shared" si="87"/>
        <v>0</v>
      </c>
      <c r="AD111" s="14">
        <f t="shared" si="88"/>
        <v>0</v>
      </c>
      <c r="AE111" s="14">
        <f t="shared" si="89"/>
        <v>0</v>
      </c>
      <c r="AF111" s="14">
        <f t="shared" si="90"/>
        <v>0</v>
      </c>
      <c r="AG111" s="14">
        <f t="shared" si="91"/>
        <v>0</v>
      </c>
      <c r="AH111" s="14">
        <f t="shared" si="92"/>
        <v>0</v>
      </c>
      <c r="AI111" s="49" t="s">
        <v>50</v>
      </c>
      <c r="AJ111" s="14">
        <f t="shared" si="93"/>
        <v>0</v>
      </c>
      <c r="AK111" s="14">
        <f t="shared" si="94"/>
        <v>0</v>
      </c>
      <c r="AL111" s="14">
        <f t="shared" si="95"/>
        <v>0</v>
      </c>
      <c r="AN111" s="14">
        <v>21</v>
      </c>
      <c r="AO111" s="14">
        <f t="shared" si="96"/>
        <v>0</v>
      </c>
      <c r="AP111" s="14">
        <f t="shared" si="97"/>
        <v>0</v>
      </c>
      <c r="AQ111" s="65" t="s">
        <v>168</v>
      </c>
      <c r="AV111" s="14">
        <f t="shared" si="98"/>
        <v>0</v>
      </c>
      <c r="AW111" s="14">
        <f t="shared" si="99"/>
        <v>0</v>
      </c>
      <c r="AX111" s="14">
        <f t="shared" si="100"/>
        <v>0</v>
      </c>
      <c r="AY111" s="65" t="s">
        <v>201</v>
      </c>
      <c r="AZ111" s="65" t="s">
        <v>367</v>
      </c>
      <c r="BA111" s="49" t="s">
        <v>368</v>
      </c>
      <c r="BC111" s="14">
        <f t="shared" si="101"/>
        <v>0</v>
      </c>
      <c r="BD111" s="14">
        <f t="shared" si="102"/>
        <v>0</v>
      </c>
      <c r="BE111" s="14">
        <v>0</v>
      </c>
      <c r="BF111" s="14">
        <f>111</f>
        <v>111</v>
      </c>
      <c r="BH111" s="14">
        <f t="shared" si="103"/>
        <v>0</v>
      </c>
      <c r="BI111" s="14">
        <f t="shared" si="104"/>
        <v>0</v>
      </c>
      <c r="BJ111" s="14">
        <f t="shared" si="105"/>
        <v>0</v>
      </c>
      <c r="BK111" s="14"/>
      <c r="BL111" s="14">
        <v>16</v>
      </c>
      <c r="BW111" s="14">
        <v>21</v>
      </c>
      <c r="BX111" s="3" t="s">
        <v>389</v>
      </c>
    </row>
    <row r="112" spans="1:76" ht="25.5" x14ac:dyDescent="0.25">
      <c r="A112" s="1" t="s">
        <v>390</v>
      </c>
      <c r="B112" s="2" t="s">
        <v>50</v>
      </c>
      <c r="C112" s="2" t="s">
        <v>391</v>
      </c>
      <c r="D112" s="81" t="s">
        <v>392</v>
      </c>
      <c r="E112" s="74"/>
      <c r="F112" s="2" t="s">
        <v>333</v>
      </c>
      <c r="G112" s="14">
        <v>1</v>
      </c>
      <c r="H112" s="64">
        <v>0</v>
      </c>
      <c r="I112" s="14">
        <f t="shared" si="84"/>
        <v>0</v>
      </c>
      <c r="K112" s="54"/>
      <c r="Z112" s="14">
        <f t="shared" si="85"/>
        <v>0</v>
      </c>
      <c r="AB112" s="14">
        <f t="shared" si="86"/>
        <v>0</v>
      </c>
      <c r="AC112" s="14">
        <f t="shared" si="87"/>
        <v>0</v>
      </c>
      <c r="AD112" s="14">
        <f t="shared" si="88"/>
        <v>0</v>
      </c>
      <c r="AE112" s="14">
        <f t="shared" si="89"/>
        <v>0</v>
      </c>
      <c r="AF112" s="14">
        <f t="shared" si="90"/>
        <v>0</v>
      </c>
      <c r="AG112" s="14">
        <f t="shared" si="91"/>
        <v>0</v>
      </c>
      <c r="AH112" s="14">
        <f t="shared" si="92"/>
        <v>0</v>
      </c>
      <c r="AI112" s="49" t="s">
        <v>50</v>
      </c>
      <c r="AJ112" s="14">
        <f t="shared" si="93"/>
        <v>0</v>
      </c>
      <c r="AK112" s="14">
        <f t="shared" si="94"/>
        <v>0</v>
      </c>
      <c r="AL112" s="14">
        <f t="shared" si="95"/>
        <v>0</v>
      </c>
      <c r="AN112" s="14">
        <v>21</v>
      </c>
      <c r="AO112" s="14">
        <f t="shared" si="96"/>
        <v>0</v>
      </c>
      <c r="AP112" s="14">
        <f t="shared" si="97"/>
        <v>0</v>
      </c>
      <c r="AQ112" s="65" t="s">
        <v>168</v>
      </c>
      <c r="AV112" s="14">
        <f t="shared" si="98"/>
        <v>0</v>
      </c>
      <c r="AW112" s="14">
        <f t="shared" si="99"/>
        <v>0</v>
      </c>
      <c r="AX112" s="14">
        <f t="shared" si="100"/>
        <v>0</v>
      </c>
      <c r="AY112" s="65" t="s">
        <v>201</v>
      </c>
      <c r="AZ112" s="65" t="s">
        <v>367</v>
      </c>
      <c r="BA112" s="49" t="s">
        <v>368</v>
      </c>
      <c r="BC112" s="14">
        <f t="shared" si="101"/>
        <v>0</v>
      </c>
      <c r="BD112" s="14">
        <f t="shared" si="102"/>
        <v>0</v>
      </c>
      <c r="BE112" s="14">
        <v>0</v>
      </c>
      <c r="BF112" s="14">
        <f>112</f>
        <v>112</v>
      </c>
      <c r="BH112" s="14">
        <f t="shared" si="103"/>
        <v>0</v>
      </c>
      <c r="BI112" s="14">
        <f t="shared" si="104"/>
        <v>0</v>
      </c>
      <c r="BJ112" s="14">
        <f t="shared" si="105"/>
        <v>0</v>
      </c>
      <c r="BK112" s="14"/>
      <c r="BL112" s="14">
        <v>16</v>
      </c>
      <c r="BW112" s="14">
        <v>21</v>
      </c>
      <c r="BX112" s="3" t="s">
        <v>392</v>
      </c>
    </row>
    <row r="113" spans="1:76" ht="25.5" x14ac:dyDescent="0.25">
      <c r="A113" s="1" t="s">
        <v>393</v>
      </c>
      <c r="B113" s="2" t="s">
        <v>50</v>
      </c>
      <c r="C113" s="2" t="s">
        <v>394</v>
      </c>
      <c r="D113" s="81" t="s">
        <v>395</v>
      </c>
      <c r="E113" s="74"/>
      <c r="F113" s="2" t="s">
        <v>333</v>
      </c>
      <c r="G113" s="14">
        <v>13</v>
      </c>
      <c r="H113" s="64">
        <v>0</v>
      </c>
      <c r="I113" s="14">
        <f t="shared" si="84"/>
        <v>0</v>
      </c>
      <c r="K113" s="54"/>
      <c r="Z113" s="14">
        <f t="shared" si="85"/>
        <v>0</v>
      </c>
      <c r="AB113" s="14">
        <f t="shared" si="86"/>
        <v>0</v>
      </c>
      <c r="AC113" s="14">
        <f t="shared" si="87"/>
        <v>0</v>
      </c>
      <c r="AD113" s="14">
        <f t="shared" si="88"/>
        <v>0</v>
      </c>
      <c r="AE113" s="14">
        <f t="shared" si="89"/>
        <v>0</v>
      </c>
      <c r="AF113" s="14">
        <f t="shared" si="90"/>
        <v>0</v>
      </c>
      <c r="AG113" s="14">
        <f t="shared" si="91"/>
        <v>0</v>
      </c>
      <c r="AH113" s="14">
        <f t="shared" si="92"/>
        <v>0</v>
      </c>
      <c r="AI113" s="49" t="s">
        <v>50</v>
      </c>
      <c r="AJ113" s="14">
        <f t="shared" si="93"/>
        <v>0</v>
      </c>
      <c r="AK113" s="14">
        <f t="shared" si="94"/>
        <v>0</v>
      </c>
      <c r="AL113" s="14">
        <f t="shared" si="95"/>
        <v>0</v>
      </c>
      <c r="AN113" s="14">
        <v>21</v>
      </c>
      <c r="AO113" s="14">
        <f t="shared" si="96"/>
        <v>0</v>
      </c>
      <c r="AP113" s="14">
        <f t="shared" si="97"/>
        <v>0</v>
      </c>
      <c r="AQ113" s="65" t="s">
        <v>168</v>
      </c>
      <c r="AV113" s="14">
        <f t="shared" si="98"/>
        <v>0</v>
      </c>
      <c r="AW113" s="14">
        <f t="shared" si="99"/>
        <v>0</v>
      </c>
      <c r="AX113" s="14">
        <f t="shared" si="100"/>
        <v>0</v>
      </c>
      <c r="AY113" s="65" t="s">
        <v>201</v>
      </c>
      <c r="AZ113" s="65" t="s">
        <v>367</v>
      </c>
      <c r="BA113" s="49" t="s">
        <v>368</v>
      </c>
      <c r="BC113" s="14">
        <f t="shared" si="101"/>
        <v>0</v>
      </c>
      <c r="BD113" s="14">
        <f t="shared" si="102"/>
        <v>0</v>
      </c>
      <c r="BE113" s="14">
        <v>0</v>
      </c>
      <c r="BF113" s="14">
        <f>113</f>
        <v>113</v>
      </c>
      <c r="BH113" s="14">
        <f t="shared" si="103"/>
        <v>0</v>
      </c>
      <c r="BI113" s="14">
        <f t="shared" si="104"/>
        <v>0</v>
      </c>
      <c r="BJ113" s="14">
        <f t="shared" si="105"/>
        <v>0</v>
      </c>
      <c r="BK113" s="14"/>
      <c r="BL113" s="14">
        <v>16</v>
      </c>
      <c r="BW113" s="14">
        <v>21</v>
      </c>
      <c r="BX113" s="3" t="s">
        <v>395</v>
      </c>
    </row>
    <row r="114" spans="1:76" ht="25.5" x14ac:dyDescent="0.25">
      <c r="A114" s="1" t="s">
        <v>396</v>
      </c>
      <c r="B114" s="2" t="s">
        <v>50</v>
      </c>
      <c r="C114" s="2" t="s">
        <v>397</v>
      </c>
      <c r="D114" s="81" t="s">
        <v>398</v>
      </c>
      <c r="E114" s="74"/>
      <c r="F114" s="2" t="s">
        <v>333</v>
      </c>
      <c r="G114" s="14">
        <v>13</v>
      </c>
      <c r="H114" s="64">
        <v>0</v>
      </c>
      <c r="I114" s="14">
        <f t="shared" si="84"/>
        <v>0</v>
      </c>
      <c r="K114" s="54"/>
      <c r="Z114" s="14">
        <f t="shared" si="85"/>
        <v>0</v>
      </c>
      <c r="AB114" s="14">
        <f t="shared" si="86"/>
        <v>0</v>
      </c>
      <c r="AC114" s="14">
        <f t="shared" si="87"/>
        <v>0</v>
      </c>
      <c r="AD114" s="14">
        <f t="shared" si="88"/>
        <v>0</v>
      </c>
      <c r="AE114" s="14">
        <f t="shared" si="89"/>
        <v>0</v>
      </c>
      <c r="AF114" s="14">
        <f t="shared" si="90"/>
        <v>0</v>
      </c>
      <c r="AG114" s="14">
        <f t="shared" si="91"/>
        <v>0</v>
      </c>
      <c r="AH114" s="14">
        <f t="shared" si="92"/>
        <v>0</v>
      </c>
      <c r="AI114" s="49" t="s">
        <v>50</v>
      </c>
      <c r="AJ114" s="14">
        <f t="shared" si="93"/>
        <v>0</v>
      </c>
      <c r="AK114" s="14">
        <f t="shared" si="94"/>
        <v>0</v>
      </c>
      <c r="AL114" s="14">
        <f t="shared" si="95"/>
        <v>0</v>
      </c>
      <c r="AN114" s="14">
        <v>21</v>
      </c>
      <c r="AO114" s="14">
        <f t="shared" si="96"/>
        <v>0</v>
      </c>
      <c r="AP114" s="14">
        <f t="shared" si="97"/>
        <v>0</v>
      </c>
      <c r="AQ114" s="65" t="s">
        <v>168</v>
      </c>
      <c r="AV114" s="14">
        <f t="shared" si="98"/>
        <v>0</v>
      </c>
      <c r="AW114" s="14">
        <f t="shared" si="99"/>
        <v>0</v>
      </c>
      <c r="AX114" s="14">
        <f t="shared" si="100"/>
        <v>0</v>
      </c>
      <c r="AY114" s="65" t="s">
        <v>201</v>
      </c>
      <c r="AZ114" s="65" t="s">
        <v>367</v>
      </c>
      <c r="BA114" s="49" t="s">
        <v>368</v>
      </c>
      <c r="BC114" s="14">
        <f t="shared" si="101"/>
        <v>0</v>
      </c>
      <c r="BD114" s="14">
        <f t="shared" si="102"/>
        <v>0</v>
      </c>
      <c r="BE114" s="14">
        <v>0</v>
      </c>
      <c r="BF114" s="14">
        <f>114</f>
        <v>114</v>
      </c>
      <c r="BH114" s="14">
        <f t="shared" si="103"/>
        <v>0</v>
      </c>
      <c r="BI114" s="14">
        <f t="shared" si="104"/>
        <v>0</v>
      </c>
      <c r="BJ114" s="14">
        <f t="shared" si="105"/>
        <v>0</v>
      </c>
      <c r="BK114" s="14"/>
      <c r="BL114" s="14">
        <v>16</v>
      </c>
      <c r="BW114" s="14">
        <v>21</v>
      </c>
      <c r="BX114" s="3" t="s">
        <v>398</v>
      </c>
    </row>
    <row r="115" spans="1:76" ht="25.5" x14ac:dyDescent="0.25">
      <c r="A115" s="1" t="s">
        <v>399</v>
      </c>
      <c r="B115" s="2" t="s">
        <v>50</v>
      </c>
      <c r="C115" s="2" t="s">
        <v>400</v>
      </c>
      <c r="D115" s="81" t="s">
        <v>401</v>
      </c>
      <c r="E115" s="74"/>
      <c r="F115" s="2" t="s">
        <v>333</v>
      </c>
      <c r="G115" s="14">
        <v>13</v>
      </c>
      <c r="H115" s="64">
        <v>0</v>
      </c>
      <c r="I115" s="14">
        <f t="shared" si="84"/>
        <v>0</v>
      </c>
      <c r="K115" s="54"/>
      <c r="Z115" s="14">
        <f t="shared" si="85"/>
        <v>0</v>
      </c>
      <c r="AB115" s="14">
        <f t="shared" si="86"/>
        <v>0</v>
      </c>
      <c r="AC115" s="14">
        <f t="shared" si="87"/>
        <v>0</v>
      </c>
      <c r="AD115" s="14">
        <f t="shared" si="88"/>
        <v>0</v>
      </c>
      <c r="AE115" s="14">
        <f t="shared" si="89"/>
        <v>0</v>
      </c>
      <c r="AF115" s="14">
        <f t="shared" si="90"/>
        <v>0</v>
      </c>
      <c r="AG115" s="14">
        <f t="shared" si="91"/>
        <v>0</v>
      </c>
      <c r="AH115" s="14">
        <f t="shared" si="92"/>
        <v>0</v>
      </c>
      <c r="AI115" s="49" t="s">
        <v>50</v>
      </c>
      <c r="AJ115" s="14">
        <f t="shared" si="93"/>
        <v>0</v>
      </c>
      <c r="AK115" s="14">
        <f t="shared" si="94"/>
        <v>0</v>
      </c>
      <c r="AL115" s="14">
        <f t="shared" si="95"/>
        <v>0</v>
      </c>
      <c r="AN115" s="14">
        <v>21</v>
      </c>
      <c r="AO115" s="14">
        <f t="shared" si="96"/>
        <v>0</v>
      </c>
      <c r="AP115" s="14">
        <f t="shared" si="97"/>
        <v>0</v>
      </c>
      <c r="AQ115" s="65" t="s">
        <v>168</v>
      </c>
      <c r="AV115" s="14">
        <f t="shared" si="98"/>
        <v>0</v>
      </c>
      <c r="AW115" s="14">
        <f t="shared" si="99"/>
        <v>0</v>
      </c>
      <c r="AX115" s="14">
        <f t="shared" si="100"/>
        <v>0</v>
      </c>
      <c r="AY115" s="65" t="s">
        <v>201</v>
      </c>
      <c r="AZ115" s="65" t="s">
        <v>367</v>
      </c>
      <c r="BA115" s="49" t="s">
        <v>368</v>
      </c>
      <c r="BC115" s="14">
        <f t="shared" si="101"/>
        <v>0</v>
      </c>
      <c r="BD115" s="14">
        <f t="shared" si="102"/>
        <v>0</v>
      </c>
      <c r="BE115" s="14">
        <v>0</v>
      </c>
      <c r="BF115" s="14">
        <f>115</f>
        <v>115</v>
      </c>
      <c r="BH115" s="14">
        <f t="shared" si="103"/>
        <v>0</v>
      </c>
      <c r="BI115" s="14">
        <f t="shared" si="104"/>
        <v>0</v>
      </c>
      <c r="BJ115" s="14">
        <f t="shared" si="105"/>
        <v>0</v>
      </c>
      <c r="BK115" s="14"/>
      <c r="BL115" s="14">
        <v>16</v>
      </c>
      <c r="BW115" s="14">
        <v>21</v>
      </c>
      <c r="BX115" s="3" t="s">
        <v>401</v>
      </c>
    </row>
    <row r="116" spans="1:76" ht="25.5" x14ac:dyDescent="0.25">
      <c r="A116" s="1" t="s">
        <v>402</v>
      </c>
      <c r="B116" s="2" t="s">
        <v>50</v>
      </c>
      <c r="C116" s="2" t="s">
        <v>403</v>
      </c>
      <c r="D116" s="81" t="s">
        <v>404</v>
      </c>
      <c r="E116" s="74"/>
      <c r="F116" s="2" t="s">
        <v>171</v>
      </c>
      <c r="G116" s="14">
        <v>21</v>
      </c>
      <c r="H116" s="64">
        <v>0</v>
      </c>
      <c r="I116" s="14">
        <f t="shared" si="84"/>
        <v>0</v>
      </c>
      <c r="K116" s="54"/>
      <c r="Z116" s="14">
        <f t="shared" si="85"/>
        <v>0</v>
      </c>
      <c r="AB116" s="14">
        <f t="shared" si="86"/>
        <v>0</v>
      </c>
      <c r="AC116" s="14">
        <f t="shared" si="87"/>
        <v>0</v>
      </c>
      <c r="AD116" s="14">
        <f t="shared" si="88"/>
        <v>0</v>
      </c>
      <c r="AE116" s="14">
        <f t="shared" si="89"/>
        <v>0</v>
      </c>
      <c r="AF116" s="14">
        <f t="shared" si="90"/>
        <v>0</v>
      </c>
      <c r="AG116" s="14">
        <f t="shared" si="91"/>
        <v>0</v>
      </c>
      <c r="AH116" s="14">
        <f t="shared" si="92"/>
        <v>0</v>
      </c>
      <c r="AI116" s="49" t="s">
        <v>50</v>
      </c>
      <c r="AJ116" s="14">
        <f t="shared" si="93"/>
        <v>0</v>
      </c>
      <c r="AK116" s="14">
        <f t="shared" si="94"/>
        <v>0</v>
      </c>
      <c r="AL116" s="14">
        <f t="shared" si="95"/>
        <v>0</v>
      </c>
      <c r="AN116" s="14">
        <v>21</v>
      </c>
      <c r="AO116" s="14">
        <f t="shared" si="96"/>
        <v>0</v>
      </c>
      <c r="AP116" s="14">
        <f t="shared" si="97"/>
        <v>0</v>
      </c>
      <c r="AQ116" s="65" t="s">
        <v>168</v>
      </c>
      <c r="AV116" s="14">
        <f t="shared" si="98"/>
        <v>0</v>
      </c>
      <c r="AW116" s="14">
        <f t="shared" si="99"/>
        <v>0</v>
      </c>
      <c r="AX116" s="14">
        <f t="shared" si="100"/>
        <v>0</v>
      </c>
      <c r="AY116" s="65" t="s">
        <v>201</v>
      </c>
      <c r="AZ116" s="65" t="s">
        <v>367</v>
      </c>
      <c r="BA116" s="49" t="s">
        <v>368</v>
      </c>
      <c r="BC116" s="14">
        <f t="shared" si="101"/>
        <v>0</v>
      </c>
      <c r="BD116" s="14">
        <f t="shared" si="102"/>
        <v>0</v>
      </c>
      <c r="BE116" s="14">
        <v>0</v>
      </c>
      <c r="BF116" s="14">
        <f>116</f>
        <v>116</v>
      </c>
      <c r="BH116" s="14">
        <f t="shared" si="103"/>
        <v>0</v>
      </c>
      <c r="BI116" s="14">
        <f t="shared" si="104"/>
        <v>0</v>
      </c>
      <c r="BJ116" s="14">
        <f t="shared" si="105"/>
        <v>0</v>
      </c>
      <c r="BK116" s="14"/>
      <c r="BL116" s="14">
        <v>16</v>
      </c>
      <c r="BW116" s="14">
        <v>21</v>
      </c>
      <c r="BX116" s="3" t="s">
        <v>404</v>
      </c>
    </row>
    <row r="117" spans="1:76" ht="25.5" x14ac:dyDescent="0.25">
      <c r="A117" s="1" t="s">
        <v>405</v>
      </c>
      <c r="B117" s="2" t="s">
        <v>50</v>
      </c>
      <c r="C117" s="2" t="s">
        <v>406</v>
      </c>
      <c r="D117" s="81" t="s">
        <v>407</v>
      </c>
      <c r="E117" s="74"/>
      <c r="F117" s="2" t="s">
        <v>171</v>
      </c>
      <c r="G117" s="14">
        <v>189</v>
      </c>
      <c r="H117" s="64">
        <v>0</v>
      </c>
      <c r="I117" s="14">
        <f t="shared" si="84"/>
        <v>0</v>
      </c>
      <c r="K117" s="54"/>
      <c r="Z117" s="14">
        <f t="shared" si="85"/>
        <v>0</v>
      </c>
      <c r="AB117" s="14">
        <f t="shared" si="86"/>
        <v>0</v>
      </c>
      <c r="AC117" s="14">
        <f t="shared" si="87"/>
        <v>0</v>
      </c>
      <c r="AD117" s="14">
        <f t="shared" si="88"/>
        <v>0</v>
      </c>
      <c r="AE117" s="14">
        <f t="shared" si="89"/>
        <v>0</v>
      </c>
      <c r="AF117" s="14">
        <f t="shared" si="90"/>
        <v>0</v>
      </c>
      <c r="AG117" s="14">
        <f t="shared" si="91"/>
        <v>0</v>
      </c>
      <c r="AH117" s="14">
        <f t="shared" si="92"/>
        <v>0</v>
      </c>
      <c r="AI117" s="49" t="s">
        <v>50</v>
      </c>
      <c r="AJ117" s="14">
        <f t="shared" si="93"/>
        <v>0</v>
      </c>
      <c r="AK117" s="14">
        <f t="shared" si="94"/>
        <v>0</v>
      </c>
      <c r="AL117" s="14">
        <f t="shared" si="95"/>
        <v>0</v>
      </c>
      <c r="AN117" s="14">
        <v>21</v>
      </c>
      <c r="AO117" s="14">
        <f t="shared" si="96"/>
        <v>0</v>
      </c>
      <c r="AP117" s="14">
        <f t="shared" si="97"/>
        <v>0</v>
      </c>
      <c r="AQ117" s="65" t="s">
        <v>168</v>
      </c>
      <c r="AV117" s="14">
        <f t="shared" si="98"/>
        <v>0</v>
      </c>
      <c r="AW117" s="14">
        <f t="shared" si="99"/>
        <v>0</v>
      </c>
      <c r="AX117" s="14">
        <f t="shared" si="100"/>
        <v>0</v>
      </c>
      <c r="AY117" s="65" t="s">
        <v>201</v>
      </c>
      <c r="AZ117" s="65" t="s">
        <v>367</v>
      </c>
      <c r="BA117" s="49" t="s">
        <v>368</v>
      </c>
      <c r="BC117" s="14">
        <f t="shared" si="101"/>
        <v>0</v>
      </c>
      <c r="BD117" s="14">
        <f t="shared" si="102"/>
        <v>0</v>
      </c>
      <c r="BE117" s="14">
        <v>0</v>
      </c>
      <c r="BF117" s="14">
        <f>117</f>
        <v>117</v>
      </c>
      <c r="BH117" s="14">
        <f t="shared" si="103"/>
        <v>0</v>
      </c>
      <c r="BI117" s="14">
        <f t="shared" si="104"/>
        <v>0</v>
      </c>
      <c r="BJ117" s="14">
        <f t="shared" si="105"/>
        <v>0</v>
      </c>
      <c r="BK117" s="14"/>
      <c r="BL117" s="14">
        <v>16</v>
      </c>
      <c r="BW117" s="14">
        <v>21</v>
      </c>
      <c r="BX117" s="3" t="s">
        <v>407</v>
      </c>
    </row>
    <row r="118" spans="1:76" ht="25.5" x14ac:dyDescent="0.25">
      <c r="A118" s="1" t="s">
        <v>408</v>
      </c>
      <c r="B118" s="2" t="s">
        <v>50</v>
      </c>
      <c r="C118" s="2" t="s">
        <v>199</v>
      </c>
      <c r="D118" s="81" t="s">
        <v>200</v>
      </c>
      <c r="E118" s="74"/>
      <c r="F118" s="2" t="s">
        <v>190</v>
      </c>
      <c r="G118" s="14">
        <v>7.44</v>
      </c>
      <c r="H118" s="64">
        <v>0</v>
      </c>
      <c r="I118" s="14">
        <f t="shared" si="84"/>
        <v>0</v>
      </c>
      <c r="K118" s="54"/>
      <c r="Z118" s="14">
        <f t="shared" si="85"/>
        <v>0</v>
      </c>
      <c r="AB118" s="14">
        <f t="shared" si="86"/>
        <v>0</v>
      </c>
      <c r="AC118" s="14">
        <f t="shared" si="87"/>
        <v>0</v>
      </c>
      <c r="AD118" s="14">
        <f t="shared" si="88"/>
        <v>0</v>
      </c>
      <c r="AE118" s="14">
        <f t="shared" si="89"/>
        <v>0</v>
      </c>
      <c r="AF118" s="14">
        <f t="shared" si="90"/>
        <v>0</v>
      </c>
      <c r="AG118" s="14">
        <f t="shared" si="91"/>
        <v>0</v>
      </c>
      <c r="AH118" s="14">
        <f t="shared" si="92"/>
        <v>0</v>
      </c>
      <c r="AI118" s="49" t="s">
        <v>50</v>
      </c>
      <c r="AJ118" s="14">
        <f t="shared" si="93"/>
        <v>0</v>
      </c>
      <c r="AK118" s="14">
        <f t="shared" si="94"/>
        <v>0</v>
      </c>
      <c r="AL118" s="14">
        <f t="shared" si="95"/>
        <v>0</v>
      </c>
      <c r="AN118" s="14">
        <v>21</v>
      </c>
      <c r="AO118" s="14">
        <f t="shared" si="96"/>
        <v>0</v>
      </c>
      <c r="AP118" s="14">
        <f t="shared" si="97"/>
        <v>0</v>
      </c>
      <c r="AQ118" s="65" t="s">
        <v>168</v>
      </c>
      <c r="AV118" s="14">
        <f t="shared" si="98"/>
        <v>0</v>
      </c>
      <c r="AW118" s="14">
        <f t="shared" si="99"/>
        <v>0</v>
      </c>
      <c r="AX118" s="14">
        <f t="shared" si="100"/>
        <v>0</v>
      </c>
      <c r="AY118" s="65" t="s">
        <v>201</v>
      </c>
      <c r="AZ118" s="65" t="s">
        <v>367</v>
      </c>
      <c r="BA118" s="49" t="s">
        <v>368</v>
      </c>
      <c r="BC118" s="14">
        <f t="shared" si="101"/>
        <v>0</v>
      </c>
      <c r="BD118" s="14">
        <f t="shared" si="102"/>
        <v>0</v>
      </c>
      <c r="BE118" s="14">
        <v>0</v>
      </c>
      <c r="BF118" s="14">
        <f>118</f>
        <v>118</v>
      </c>
      <c r="BH118" s="14">
        <f t="shared" si="103"/>
        <v>0</v>
      </c>
      <c r="BI118" s="14">
        <f t="shared" si="104"/>
        <v>0</v>
      </c>
      <c r="BJ118" s="14">
        <f t="shared" si="105"/>
        <v>0</v>
      </c>
      <c r="BK118" s="14"/>
      <c r="BL118" s="14">
        <v>16</v>
      </c>
      <c r="BW118" s="14">
        <v>21</v>
      </c>
      <c r="BX118" s="3" t="s">
        <v>200</v>
      </c>
    </row>
    <row r="119" spans="1:76" ht="25.5" x14ac:dyDescent="0.25">
      <c r="A119" s="1" t="s">
        <v>409</v>
      </c>
      <c r="B119" s="2" t="s">
        <v>50</v>
      </c>
      <c r="C119" s="2" t="s">
        <v>203</v>
      </c>
      <c r="D119" s="81" t="s">
        <v>200</v>
      </c>
      <c r="E119" s="74"/>
      <c r="F119" s="2" t="s">
        <v>190</v>
      </c>
      <c r="G119" s="14">
        <v>29.76</v>
      </c>
      <c r="H119" s="64">
        <v>0</v>
      </c>
      <c r="I119" s="14">
        <f t="shared" si="84"/>
        <v>0</v>
      </c>
      <c r="K119" s="54"/>
      <c r="Z119" s="14">
        <f t="shared" si="85"/>
        <v>0</v>
      </c>
      <c r="AB119" s="14">
        <f t="shared" si="86"/>
        <v>0</v>
      </c>
      <c r="AC119" s="14">
        <f t="shared" si="87"/>
        <v>0</v>
      </c>
      <c r="AD119" s="14">
        <f t="shared" si="88"/>
        <v>0</v>
      </c>
      <c r="AE119" s="14">
        <f t="shared" si="89"/>
        <v>0</v>
      </c>
      <c r="AF119" s="14">
        <f t="shared" si="90"/>
        <v>0</v>
      </c>
      <c r="AG119" s="14">
        <f t="shared" si="91"/>
        <v>0</v>
      </c>
      <c r="AH119" s="14">
        <f t="shared" si="92"/>
        <v>0</v>
      </c>
      <c r="AI119" s="49" t="s">
        <v>50</v>
      </c>
      <c r="AJ119" s="14">
        <f t="shared" si="93"/>
        <v>0</v>
      </c>
      <c r="AK119" s="14">
        <f t="shared" si="94"/>
        <v>0</v>
      </c>
      <c r="AL119" s="14">
        <f t="shared" si="95"/>
        <v>0</v>
      </c>
      <c r="AN119" s="14">
        <v>21</v>
      </c>
      <c r="AO119" s="14">
        <f t="shared" si="96"/>
        <v>0</v>
      </c>
      <c r="AP119" s="14">
        <f t="shared" si="97"/>
        <v>0</v>
      </c>
      <c r="AQ119" s="65" t="s">
        <v>168</v>
      </c>
      <c r="AV119" s="14">
        <f t="shared" si="98"/>
        <v>0</v>
      </c>
      <c r="AW119" s="14">
        <f t="shared" si="99"/>
        <v>0</v>
      </c>
      <c r="AX119" s="14">
        <f t="shared" si="100"/>
        <v>0</v>
      </c>
      <c r="AY119" s="65" t="s">
        <v>201</v>
      </c>
      <c r="AZ119" s="65" t="s">
        <v>367</v>
      </c>
      <c r="BA119" s="49" t="s">
        <v>368</v>
      </c>
      <c r="BC119" s="14">
        <f t="shared" si="101"/>
        <v>0</v>
      </c>
      <c r="BD119" s="14">
        <f t="shared" si="102"/>
        <v>0</v>
      </c>
      <c r="BE119" s="14">
        <v>0</v>
      </c>
      <c r="BF119" s="14">
        <f>119</f>
        <v>119</v>
      </c>
      <c r="BH119" s="14">
        <f t="shared" si="103"/>
        <v>0</v>
      </c>
      <c r="BI119" s="14">
        <f t="shared" si="104"/>
        <v>0</v>
      </c>
      <c r="BJ119" s="14">
        <f t="shared" si="105"/>
        <v>0</v>
      </c>
      <c r="BK119" s="14"/>
      <c r="BL119" s="14">
        <v>16</v>
      </c>
      <c r="BW119" s="14">
        <v>21</v>
      </c>
      <c r="BX119" s="3" t="s">
        <v>200</v>
      </c>
    </row>
    <row r="120" spans="1:76" ht="25.5" x14ac:dyDescent="0.25">
      <c r="A120" s="1" t="s">
        <v>410</v>
      </c>
      <c r="B120" s="2" t="s">
        <v>50</v>
      </c>
      <c r="C120" s="2" t="s">
        <v>204</v>
      </c>
      <c r="D120" s="81" t="s">
        <v>205</v>
      </c>
      <c r="E120" s="74"/>
      <c r="F120" s="2" t="s">
        <v>190</v>
      </c>
      <c r="G120" s="14">
        <v>7.44</v>
      </c>
      <c r="H120" s="64">
        <v>0</v>
      </c>
      <c r="I120" s="14">
        <f t="shared" si="84"/>
        <v>0</v>
      </c>
      <c r="K120" s="54"/>
      <c r="Z120" s="14">
        <f t="shared" si="85"/>
        <v>0</v>
      </c>
      <c r="AB120" s="14">
        <f t="shared" si="86"/>
        <v>0</v>
      </c>
      <c r="AC120" s="14">
        <f t="shared" si="87"/>
        <v>0</v>
      </c>
      <c r="AD120" s="14">
        <f t="shared" si="88"/>
        <v>0</v>
      </c>
      <c r="AE120" s="14">
        <f t="shared" si="89"/>
        <v>0</v>
      </c>
      <c r="AF120" s="14">
        <f t="shared" si="90"/>
        <v>0</v>
      </c>
      <c r="AG120" s="14">
        <f t="shared" si="91"/>
        <v>0</v>
      </c>
      <c r="AH120" s="14">
        <f t="shared" si="92"/>
        <v>0</v>
      </c>
      <c r="AI120" s="49" t="s">
        <v>50</v>
      </c>
      <c r="AJ120" s="14">
        <f t="shared" si="93"/>
        <v>0</v>
      </c>
      <c r="AK120" s="14">
        <f t="shared" si="94"/>
        <v>0</v>
      </c>
      <c r="AL120" s="14">
        <f t="shared" si="95"/>
        <v>0</v>
      </c>
      <c r="AN120" s="14">
        <v>21</v>
      </c>
      <c r="AO120" s="14">
        <f t="shared" si="96"/>
        <v>0</v>
      </c>
      <c r="AP120" s="14">
        <f t="shared" si="97"/>
        <v>0</v>
      </c>
      <c r="AQ120" s="65" t="s">
        <v>168</v>
      </c>
      <c r="AV120" s="14">
        <f t="shared" si="98"/>
        <v>0</v>
      </c>
      <c r="AW120" s="14">
        <f t="shared" si="99"/>
        <v>0</v>
      </c>
      <c r="AX120" s="14">
        <f t="shared" si="100"/>
        <v>0</v>
      </c>
      <c r="AY120" s="65" t="s">
        <v>201</v>
      </c>
      <c r="AZ120" s="65" t="s">
        <v>367</v>
      </c>
      <c r="BA120" s="49" t="s">
        <v>368</v>
      </c>
      <c r="BC120" s="14">
        <f t="shared" si="101"/>
        <v>0</v>
      </c>
      <c r="BD120" s="14">
        <f t="shared" si="102"/>
        <v>0</v>
      </c>
      <c r="BE120" s="14">
        <v>0</v>
      </c>
      <c r="BF120" s="14">
        <f>120</f>
        <v>120</v>
      </c>
      <c r="BH120" s="14">
        <f t="shared" si="103"/>
        <v>0</v>
      </c>
      <c r="BI120" s="14">
        <f t="shared" si="104"/>
        <v>0</v>
      </c>
      <c r="BJ120" s="14">
        <f t="shared" si="105"/>
        <v>0</v>
      </c>
      <c r="BK120" s="14"/>
      <c r="BL120" s="14">
        <v>16</v>
      </c>
      <c r="BW120" s="14">
        <v>21</v>
      </c>
      <c r="BX120" s="3" t="s">
        <v>205</v>
      </c>
    </row>
    <row r="121" spans="1:76" ht="25.5" x14ac:dyDescent="0.25">
      <c r="A121" s="1" t="s">
        <v>411</v>
      </c>
      <c r="B121" s="2" t="s">
        <v>50</v>
      </c>
      <c r="C121" s="2" t="s">
        <v>206</v>
      </c>
      <c r="D121" s="81" t="s">
        <v>207</v>
      </c>
      <c r="E121" s="74"/>
      <c r="F121" s="2" t="s">
        <v>190</v>
      </c>
      <c r="G121" s="14">
        <v>7.44</v>
      </c>
      <c r="H121" s="64">
        <v>0</v>
      </c>
      <c r="I121" s="14">
        <f t="shared" si="84"/>
        <v>0</v>
      </c>
      <c r="K121" s="54"/>
      <c r="Z121" s="14">
        <f t="shared" si="85"/>
        <v>0</v>
      </c>
      <c r="AB121" s="14">
        <f t="shared" si="86"/>
        <v>0</v>
      </c>
      <c r="AC121" s="14">
        <f t="shared" si="87"/>
        <v>0</v>
      </c>
      <c r="AD121" s="14">
        <f t="shared" si="88"/>
        <v>0</v>
      </c>
      <c r="AE121" s="14">
        <f t="shared" si="89"/>
        <v>0</v>
      </c>
      <c r="AF121" s="14">
        <f t="shared" si="90"/>
        <v>0</v>
      </c>
      <c r="AG121" s="14">
        <f t="shared" si="91"/>
        <v>0</v>
      </c>
      <c r="AH121" s="14">
        <f t="shared" si="92"/>
        <v>0</v>
      </c>
      <c r="AI121" s="49" t="s">
        <v>50</v>
      </c>
      <c r="AJ121" s="14">
        <f t="shared" si="93"/>
        <v>0</v>
      </c>
      <c r="AK121" s="14">
        <f t="shared" si="94"/>
        <v>0</v>
      </c>
      <c r="AL121" s="14">
        <f t="shared" si="95"/>
        <v>0</v>
      </c>
      <c r="AN121" s="14">
        <v>21</v>
      </c>
      <c r="AO121" s="14">
        <f t="shared" si="96"/>
        <v>0</v>
      </c>
      <c r="AP121" s="14">
        <f t="shared" si="97"/>
        <v>0</v>
      </c>
      <c r="AQ121" s="65" t="s">
        <v>168</v>
      </c>
      <c r="AV121" s="14">
        <f t="shared" si="98"/>
        <v>0</v>
      </c>
      <c r="AW121" s="14">
        <f t="shared" si="99"/>
        <v>0</v>
      </c>
      <c r="AX121" s="14">
        <f t="shared" si="100"/>
        <v>0</v>
      </c>
      <c r="AY121" s="65" t="s">
        <v>201</v>
      </c>
      <c r="AZ121" s="65" t="s">
        <v>367</v>
      </c>
      <c r="BA121" s="49" t="s">
        <v>368</v>
      </c>
      <c r="BC121" s="14">
        <f t="shared" si="101"/>
        <v>0</v>
      </c>
      <c r="BD121" s="14">
        <f t="shared" si="102"/>
        <v>0</v>
      </c>
      <c r="BE121" s="14">
        <v>0</v>
      </c>
      <c r="BF121" s="14">
        <f>121</f>
        <v>121</v>
      </c>
      <c r="BH121" s="14">
        <f t="shared" si="103"/>
        <v>0</v>
      </c>
      <c r="BI121" s="14">
        <f t="shared" si="104"/>
        <v>0</v>
      </c>
      <c r="BJ121" s="14">
        <f t="shared" si="105"/>
        <v>0</v>
      </c>
      <c r="BK121" s="14"/>
      <c r="BL121" s="14">
        <v>16</v>
      </c>
      <c r="BW121" s="14">
        <v>21</v>
      </c>
      <c r="BX121" s="3" t="s">
        <v>207</v>
      </c>
    </row>
    <row r="122" spans="1:76" x14ac:dyDescent="0.25">
      <c r="A122" s="60" t="s">
        <v>20</v>
      </c>
      <c r="B122" s="61" t="s">
        <v>50</v>
      </c>
      <c r="C122" s="61" t="s">
        <v>30</v>
      </c>
      <c r="D122" s="162" t="s">
        <v>31</v>
      </c>
      <c r="E122" s="163"/>
      <c r="F122" s="62" t="s">
        <v>13</v>
      </c>
      <c r="G122" s="62" t="s">
        <v>13</v>
      </c>
      <c r="H122" s="63" t="s">
        <v>13</v>
      </c>
      <c r="I122" s="43">
        <f>SUM(I123:I126)</f>
        <v>0</v>
      </c>
      <c r="K122" s="54"/>
      <c r="AI122" s="49" t="s">
        <v>50</v>
      </c>
      <c r="AS122" s="43">
        <f>SUM(AJ123:AJ126)</f>
        <v>0</v>
      </c>
      <c r="AT122" s="43">
        <f>SUM(AK123:AK126)</f>
        <v>0</v>
      </c>
      <c r="AU122" s="43">
        <f>SUM(AL123:AL126)</f>
        <v>0</v>
      </c>
    </row>
    <row r="123" spans="1:76" ht="25.5" x14ac:dyDescent="0.25">
      <c r="A123" s="1" t="s">
        <v>412</v>
      </c>
      <c r="B123" s="2" t="s">
        <v>50</v>
      </c>
      <c r="C123" s="2" t="s">
        <v>208</v>
      </c>
      <c r="D123" s="81" t="s">
        <v>209</v>
      </c>
      <c r="E123" s="74"/>
      <c r="F123" s="2" t="s">
        <v>190</v>
      </c>
      <c r="G123" s="14">
        <v>7.44</v>
      </c>
      <c r="H123" s="64">
        <v>0</v>
      </c>
      <c r="I123" s="14">
        <f>G123*H123</f>
        <v>0</v>
      </c>
      <c r="K123" s="54"/>
      <c r="Z123" s="14">
        <f>IF(AQ123="5",BJ123,0)</f>
        <v>0</v>
      </c>
      <c r="AB123" s="14">
        <f>IF(AQ123="1",BH123,0)</f>
        <v>0</v>
      </c>
      <c r="AC123" s="14">
        <f>IF(AQ123="1",BI123,0)</f>
        <v>0</v>
      </c>
      <c r="AD123" s="14">
        <f>IF(AQ123="7",BH123,0)</f>
        <v>0</v>
      </c>
      <c r="AE123" s="14">
        <f>IF(AQ123="7",BI123,0)</f>
        <v>0</v>
      </c>
      <c r="AF123" s="14">
        <f>IF(AQ123="2",BH123,0)</f>
        <v>0</v>
      </c>
      <c r="AG123" s="14">
        <f>IF(AQ123="2",BI123,0)</f>
        <v>0</v>
      </c>
      <c r="AH123" s="14">
        <f>IF(AQ123="0",BJ123,0)</f>
        <v>0</v>
      </c>
      <c r="AI123" s="49" t="s">
        <v>50</v>
      </c>
      <c r="AJ123" s="14">
        <f>IF(AN123=0,I123,0)</f>
        <v>0</v>
      </c>
      <c r="AK123" s="14">
        <f>IF(AN123=12,I123,0)</f>
        <v>0</v>
      </c>
      <c r="AL123" s="14">
        <f>IF(AN123=21,I123,0)</f>
        <v>0</v>
      </c>
      <c r="AN123" s="14">
        <v>21</v>
      </c>
      <c r="AO123" s="14">
        <f>H123*0</f>
        <v>0</v>
      </c>
      <c r="AP123" s="14">
        <f>H123*(1-0)</f>
        <v>0</v>
      </c>
      <c r="AQ123" s="65" t="s">
        <v>168</v>
      </c>
      <c r="AV123" s="14">
        <f>AW123+AX123</f>
        <v>0</v>
      </c>
      <c r="AW123" s="14">
        <f>G123*AO123</f>
        <v>0</v>
      </c>
      <c r="AX123" s="14">
        <f>G123*AP123</f>
        <v>0</v>
      </c>
      <c r="AY123" s="65" t="s">
        <v>210</v>
      </c>
      <c r="AZ123" s="65" t="s">
        <v>367</v>
      </c>
      <c r="BA123" s="49" t="s">
        <v>368</v>
      </c>
      <c r="BC123" s="14">
        <f>AW123+AX123</f>
        <v>0</v>
      </c>
      <c r="BD123" s="14">
        <f>H123/(100-BE123)*100</f>
        <v>0</v>
      </c>
      <c r="BE123" s="14">
        <v>0</v>
      </c>
      <c r="BF123" s="14">
        <f>123</f>
        <v>123</v>
      </c>
      <c r="BH123" s="14">
        <f>G123*AO123</f>
        <v>0</v>
      </c>
      <c r="BI123" s="14">
        <f>G123*AP123</f>
        <v>0</v>
      </c>
      <c r="BJ123" s="14">
        <f>G123*H123</f>
        <v>0</v>
      </c>
      <c r="BK123" s="14"/>
      <c r="BL123" s="14">
        <v>17</v>
      </c>
      <c r="BW123" s="14">
        <v>21</v>
      </c>
      <c r="BX123" s="3" t="s">
        <v>209</v>
      </c>
    </row>
    <row r="124" spans="1:76" ht="25.5" x14ac:dyDescent="0.25">
      <c r="A124" s="1" t="s">
        <v>413</v>
      </c>
      <c r="B124" s="2" t="s">
        <v>50</v>
      </c>
      <c r="C124" s="2" t="s">
        <v>218</v>
      </c>
      <c r="D124" s="81" t="s">
        <v>219</v>
      </c>
      <c r="E124" s="74"/>
      <c r="F124" s="2" t="s">
        <v>217</v>
      </c>
      <c r="G124" s="14">
        <v>14.135999999999999</v>
      </c>
      <c r="H124" s="64">
        <v>0</v>
      </c>
      <c r="I124" s="14">
        <f>G124*H124</f>
        <v>0</v>
      </c>
      <c r="K124" s="54"/>
      <c r="Z124" s="14">
        <f>IF(AQ124="5",BJ124,0)</f>
        <v>0</v>
      </c>
      <c r="AB124" s="14">
        <f>IF(AQ124="1",BH124,0)</f>
        <v>0</v>
      </c>
      <c r="AC124" s="14">
        <f>IF(AQ124="1",BI124,0)</f>
        <v>0</v>
      </c>
      <c r="AD124" s="14">
        <f>IF(AQ124="7",BH124,0)</f>
        <v>0</v>
      </c>
      <c r="AE124" s="14">
        <f>IF(AQ124="7",BI124,0)</f>
        <v>0</v>
      </c>
      <c r="AF124" s="14">
        <f>IF(AQ124="2",BH124,0)</f>
        <v>0</v>
      </c>
      <c r="AG124" s="14">
        <f>IF(AQ124="2",BI124,0)</f>
        <v>0</v>
      </c>
      <c r="AH124" s="14">
        <f>IF(AQ124="0",BJ124,0)</f>
        <v>0</v>
      </c>
      <c r="AI124" s="49" t="s">
        <v>50</v>
      </c>
      <c r="AJ124" s="14">
        <f>IF(AN124=0,I124,0)</f>
        <v>0</v>
      </c>
      <c r="AK124" s="14">
        <f>IF(AN124=12,I124,0)</f>
        <v>0</v>
      </c>
      <c r="AL124" s="14">
        <f>IF(AN124=21,I124,0)</f>
        <v>0</v>
      </c>
      <c r="AN124" s="14">
        <v>21</v>
      </c>
      <c r="AO124" s="14">
        <f>H124*0</f>
        <v>0</v>
      </c>
      <c r="AP124" s="14">
        <f>H124*(1-0)</f>
        <v>0</v>
      </c>
      <c r="AQ124" s="65" t="s">
        <v>168</v>
      </c>
      <c r="AV124" s="14">
        <f>AW124+AX124</f>
        <v>0</v>
      </c>
      <c r="AW124" s="14">
        <f>G124*AO124</f>
        <v>0</v>
      </c>
      <c r="AX124" s="14">
        <f>G124*AP124</f>
        <v>0</v>
      </c>
      <c r="AY124" s="65" t="s">
        <v>210</v>
      </c>
      <c r="AZ124" s="65" t="s">
        <v>367</v>
      </c>
      <c r="BA124" s="49" t="s">
        <v>368</v>
      </c>
      <c r="BC124" s="14">
        <f>AW124+AX124</f>
        <v>0</v>
      </c>
      <c r="BD124" s="14">
        <f>H124/(100-BE124)*100</f>
        <v>0</v>
      </c>
      <c r="BE124" s="14">
        <v>0</v>
      </c>
      <c r="BF124" s="14">
        <f>124</f>
        <v>124</v>
      </c>
      <c r="BH124" s="14">
        <f>G124*AO124</f>
        <v>0</v>
      </c>
      <c r="BI124" s="14">
        <f>G124*AP124</f>
        <v>0</v>
      </c>
      <c r="BJ124" s="14">
        <f>G124*H124</f>
        <v>0</v>
      </c>
      <c r="BK124" s="14"/>
      <c r="BL124" s="14">
        <v>17</v>
      </c>
      <c r="BW124" s="14">
        <v>21</v>
      </c>
      <c r="BX124" s="3" t="s">
        <v>219</v>
      </c>
    </row>
    <row r="125" spans="1:76" ht="25.5" x14ac:dyDescent="0.25">
      <c r="A125" s="1" t="s">
        <v>414</v>
      </c>
      <c r="B125" s="2" t="s">
        <v>50</v>
      </c>
      <c r="C125" s="2" t="s">
        <v>212</v>
      </c>
      <c r="D125" s="81" t="s">
        <v>213</v>
      </c>
      <c r="E125" s="74"/>
      <c r="F125" s="2" t="s">
        <v>190</v>
      </c>
      <c r="G125" s="14">
        <v>2.6</v>
      </c>
      <c r="H125" s="64">
        <v>0</v>
      </c>
      <c r="I125" s="14">
        <f>G125*H125</f>
        <v>0</v>
      </c>
      <c r="K125" s="54"/>
      <c r="Z125" s="14">
        <f>IF(AQ125="5",BJ125,0)</f>
        <v>0</v>
      </c>
      <c r="AB125" s="14">
        <f>IF(AQ125="1",BH125,0)</f>
        <v>0</v>
      </c>
      <c r="AC125" s="14">
        <f>IF(AQ125="1",BI125,0)</f>
        <v>0</v>
      </c>
      <c r="AD125" s="14">
        <f>IF(AQ125="7",BH125,0)</f>
        <v>0</v>
      </c>
      <c r="AE125" s="14">
        <f>IF(AQ125="7",BI125,0)</f>
        <v>0</v>
      </c>
      <c r="AF125" s="14">
        <f>IF(AQ125="2",BH125,0)</f>
        <v>0</v>
      </c>
      <c r="AG125" s="14">
        <f>IF(AQ125="2",BI125,0)</f>
        <v>0</v>
      </c>
      <c r="AH125" s="14">
        <f>IF(AQ125="0",BJ125,0)</f>
        <v>0</v>
      </c>
      <c r="AI125" s="49" t="s">
        <v>50</v>
      </c>
      <c r="AJ125" s="14">
        <f>IF(AN125=0,I125,0)</f>
        <v>0</v>
      </c>
      <c r="AK125" s="14">
        <f>IF(AN125=12,I125,0)</f>
        <v>0</v>
      </c>
      <c r="AL125" s="14">
        <f>IF(AN125=21,I125,0)</f>
        <v>0</v>
      </c>
      <c r="AN125" s="14">
        <v>21</v>
      </c>
      <c r="AO125" s="14">
        <f>H125*0</f>
        <v>0</v>
      </c>
      <c r="AP125" s="14">
        <f>H125*(1-0)</f>
        <v>0</v>
      </c>
      <c r="AQ125" s="65" t="s">
        <v>168</v>
      </c>
      <c r="AV125" s="14">
        <f>AW125+AX125</f>
        <v>0</v>
      </c>
      <c r="AW125" s="14">
        <f>G125*AO125</f>
        <v>0</v>
      </c>
      <c r="AX125" s="14">
        <f>G125*AP125</f>
        <v>0</v>
      </c>
      <c r="AY125" s="65" t="s">
        <v>210</v>
      </c>
      <c r="AZ125" s="65" t="s">
        <v>367</v>
      </c>
      <c r="BA125" s="49" t="s">
        <v>368</v>
      </c>
      <c r="BC125" s="14">
        <f>AW125+AX125</f>
        <v>0</v>
      </c>
      <c r="BD125" s="14">
        <f>H125/(100-BE125)*100</f>
        <v>0</v>
      </c>
      <c r="BE125" s="14">
        <v>0</v>
      </c>
      <c r="BF125" s="14">
        <f>125</f>
        <v>125</v>
      </c>
      <c r="BH125" s="14">
        <f>G125*AO125</f>
        <v>0</v>
      </c>
      <c r="BI125" s="14">
        <f>G125*AP125</f>
        <v>0</v>
      </c>
      <c r="BJ125" s="14">
        <f>G125*H125</f>
        <v>0</v>
      </c>
      <c r="BK125" s="14"/>
      <c r="BL125" s="14">
        <v>17</v>
      </c>
      <c r="BW125" s="14">
        <v>21</v>
      </c>
      <c r="BX125" s="3" t="s">
        <v>213</v>
      </c>
    </row>
    <row r="126" spans="1:76" x14ac:dyDescent="0.25">
      <c r="A126" s="1" t="s">
        <v>38</v>
      </c>
      <c r="B126" s="2" t="s">
        <v>50</v>
      </c>
      <c r="C126" s="2" t="s">
        <v>215</v>
      </c>
      <c r="D126" s="81" t="s">
        <v>216</v>
      </c>
      <c r="E126" s="74"/>
      <c r="F126" s="2" t="s">
        <v>217</v>
      </c>
      <c r="G126" s="14">
        <v>4.9400000000000004</v>
      </c>
      <c r="H126" s="64">
        <v>0</v>
      </c>
      <c r="I126" s="14">
        <f>G126*H126</f>
        <v>0</v>
      </c>
      <c r="K126" s="54"/>
      <c r="Z126" s="14">
        <f>IF(AQ126="5",BJ126,0)</f>
        <v>0</v>
      </c>
      <c r="AB126" s="14">
        <f>IF(AQ126="1",BH126,0)</f>
        <v>0</v>
      </c>
      <c r="AC126" s="14">
        <f>IF(AQ126="1",BI126,0)</f>
        <v>0</v>
      </c>
      <c r="AD126" s="14">
        <f>IF(AQ126="7",BH126,0)</f>
        <v>0</v>
      </c>
      <c r="AE126" s="14">
        <f>IF(AQ126="7",BI126,0)</f>
        <v>0</v>
      </c>
      <c r="AF126" s="14">
        <f>IF(AQ126="2",BH126,0)</f>
        <v>0</v>
      </c>
      <c r="AG126" s="14">
        <f>IF(AQ126="2",BI126,0)</f>
        <v>0</v>
      </c>
      <c r="AH126" s="14">
        <f>IF(AQ126="0",BJ126,0)</f>
        <v>0</v>
      </c>
      <c r="AI126" s="49" t="s">
        <v>50</v>
      </c>
      <c r="AJ126" s="14">
        <f>IF(AN126=0,I126,0)</f>
        <v>0</v>
      </c>
      <c r="AK126" s="14">
        <f>IF(AN126=12,I126,0)</f>
        <v>0</v>
      </c>
      <c r="AL126" s="14">
        <f>IF(AN126=21,I126,0)</f>
        <v>0</v>
      </c>
      <c r="AN126" s="14">
        <v>21</v>
      </c>
      <c r="AO126" s="14">
        <f>H126*0</f>
        <v>0</v>
      </c>
      <c r="AP126" s="14">
        <f>H126*(1-0)</f>
        <v>0</v>
      </c>
      <c r="AQ126" s="65" t="s">
        <v>168</v>
      </c>
      <c r="AV126" s="14">
        <f>AW126+AX126</f>
        <v>0</v>
      </c>
      <c r="AW126" s="14">
        <f>G126*AO126</f>
        <v>0</v>
      </c>
      <c r="AX126" s="14">
        <f>G126*AP126</f>
        <v>0</v>
      </c>
      <c r="AY126" s="65" t="s">
        <v>210</v>
      </c>
      <c r="AZ126" s="65" t="s">
        <v>367</v>
      </c>
      <c r="BA126" s="49" t="s">
        <v>368</v>
      </c>
      <c r="BC126" s="14">
        <f>AW126+AX126</f>
        <v>0</v>
      </c>
      <c r="BD126" s="14">
        <f>H126/(100-BE126)*100</f>
        <v>0</v>
      </c>
      <c r="BE126" s="14">
        <v>0</v>
      </c>
      <c r="BF126" s="14">
        <f>126</f>
        <v>126</v>
      </c>
      <c r="BH126" s="14">
        <f>G126*AO126</f>
        <v>0</v>
      </c>
      <c r="BI126" s="14">
        <f>G126*AP126</f>
        <v>0</v>
      </c>
      <c r="BJ126" s="14">
        <f>G126*H126</f>
        <v>0</v>
      </c>
      <c r="BK126" s="14"/>
      <c r="BL126" s="14">
        <v>17</v>
      </c>
      <c r="BW126" s="14">
        <v>21</v>
      </c>
      <c r="BX126" s="3" t="s">
        <v>216</v>
      </c>
    </row>
    <row r="127" spans="1:76" x14ac:dyDescent="0.25">
      <c r="A127" s="60" t="s">
        <v>20</v>
      </c>
      <c r="B127" s="61" t="s">
        <v>50</v>
      </c>
      <c r="C127" s="61" t="s">
        <v>32</v>
      </c>
      <c r="D127" s="162" t="s">
        <v>33</v>
      </c>
      <c r="E127" s="163"/>
      <c r="F127" s="62" t="s">
        <v>13</v>
      </c>
      <c r="G127" s="62" t="s">
        <v>13</v>
      </c>
      <c r="H127" s="63" t="s">
        <v>13</v>
      </c>
      <c r="I127" s="43">
        <f>SUM(I128:I136)</f>
        <v>0</v>
      </c>
      <c r="K127" s="54"/>
      <c r="AI127" s="49" t="s">
        <v>50</v>
      </c>
      <c r="AS127" s="43">
        <f>SUM(AJ128:AJ136)</f>
        <v>0</v>
      </c>
      <c r="AT127" s="43">
        <f>SUM(AK128:AK136)</f>
        <v>0</v>
      </c>
      <c r="AU127" s="43">
        <f>SUM(AL128:AL136)</f>
        <v>0</v>
      </c>
    </row>
    <row r="128" spans="1:76" ht="25.5" x14ac:dyDescent="0.25">
      <c r="A128" s="1" t="s">
        <v>415</v>
      </c>
      <c r="B128" s="2" t="s">
        <v>50</v>
      </c>
      <c r="C128" s="2" t="s">
        <v>220</v>
      </c>
      <c r="D128" s="81" t="s">
        <v>221</v>
      </c>
      <c r="E128" s="74"/>
      <c r="F128" s="2" t="s">
        <v>171</v>
      </c>
      <c r="G128" s="14">
        <v>35</v>
      </c>
      <c r="H128" s="64">
        <v>0</v>
      </c>
      <c r="I128" s="14">
        <f t="shared" ref="I128:I136" si="106">G128*H128</f>
        <v>0</v>
      </c>
      <c r="K128" s="54"/>
      <c r="Z128" s="14">
        <f t="shared" ref="Z128:Z136" si="107">IF(AQ128="5",BJ128,0)</f>
        <v>0</v>
      </c>
      <c r="AB128" s="14">
        <f t="shared" ref="AB128:AB136" si="108">IF(AQ128="1",BH128,0)</f>
        <v>0</v>
      </c>
      <c r="AC128" s="14">
        <f t="shared" ref="AC128:AC136" si="109">IF(AQ128="1",BI128,0)</f>
        <v>0</v>
      </c>
      <c r="AD128" s="14">
        <f t="shared" ref="AD128:AD136" si="110">IF(AQ128="7",BH128,0)</f>
        <v>0</v>
      </c>
      <c r="AE128" s="14">
        <f t="shared" ref="AE128:AE136" si="111">IF(AQ128="7",BI128,0)</f>
        <v>0</v>
      </c>
      <c r="AF128" s="14">
        <f t="shared" ref="AF128:AF136" si="112">IF(AQ128="2",BH128,0)</f>
        <v>0</v>
      </c>
      <c r="AG128" s="14">
        <f t="shared" ref="AG128:AG136" si="113">IF(AQ128="2",BI128,0)</f>
        <v>0</v>
      </c>
      <c r="AH128" s="14">
        <f t="shared" ref="AH128:AH136" si="114">IF(AQ128="0",BJ128,0)</f>
        <v>0</v>
      </c>
      <c r="AI128" s="49" t="s">
        <v>50</v>
      </c>
      <c r="AJ128" s="14">
        <f t="shared" ref="AJ128:AJ136" si="115">IF(AN128=0,I128,0)</f>
        <v>0</v>
      </c>
      <c r="AK128" s="14">
        <f t="shared" ref="AK128:AK136" si="116">IF(AN128=12,I128,0)</f>
        <v>0</v>
      </c>
      <c r="AL128" s="14">
        <f t="shared" ref="AL128:AL136" si="117">IF(AN128=21,I128,0)</f>
        <v>0</v>
      </c>
      <c r="AN128" s="14">
        <v>21</v>
      </c>
      <c r="AO128" s="14">
        <f>H128*0</f>
        <v>0</v>
      </c>
      <c r="AP128" s="14">
        <f>H128*(1-0)</f>
        <v>0</v>
      </c>
      <c r="AQ128" s="65" t="s">
        <v>168</v>
      </c>
      <c r="AV128" s="14">
        <f t="shared" ref="AV128:AV136" si="118">AW128+AX128</f>
        <v>0</v>
      </c>
      <c r="AW128" s="14">
        <f t="shared" ref="AW128:AW136" si="119">G128*AO128</f>
        <v>0</v>
      </c>
      <c r="AX128" s="14">
        <f t="shared" ref="AX128:AX136" si="120">G128*AP128</f>
        <v>0</v>
      </c>
      <c r="AY128" s="65" t="s">
        <v>222</v>
      </c>
      <c r="AZ128" s="65" t="s">
        <v>367</v>
      </c>
      <c r="BA128" s="49" t="s">
        <v>368</v>
      </c>
      <c r="BC128" s="14">
        <f t="shared" ref="BC128:BC136" si="121">AW128+AX128</f>
        <v>0</v>
      </c>
      <c r="BD128" s="14">
        <f t="shared" ref="BD128:BD136" si="122">H128/(100-BE128)*100</f>
        <v>0</v>
      </c>
      <c r="BE128" s="14">
        <v>0</v>
      </c>
      <c r="BF128" s="14">
        <f>128</f>
        <v>128</v>
      </c>
      <c r="BH128" s="14">
        <f t="shared" ref="BH128:BH136" si="123">G128*AO128</f>
        <v>0</v>
      </c>
      <c r="BI128" s="14">
        <f t="shared" ref="BI128:BI136" si="124">G128*AP128</f>
        <v>0</v>
      </c>
      <c r="BJ128" s="14">
        <f t="shared" ref="BJ128:BJ136" si="125">G128*H128</f>
        <v>0</v>
      </c>
      <c r="BK128" s="14"/>
      <c r="BL128" s="14">
        <v>18</v>
      </c>
      <c r="BW128" s="14">
        <v>21</v>
      </c>
      <c r="BX128" s="3" t="s">
        <v>221</v>
      </c>
    </row>
    <row r="129" spans="1:76" ht="25.5" x14ac:dyDescent="0.25">
      <c r="A129" s="1" t="s">
        <v>65</v>
      </c>
      <c r="B129" s="2" t="s">
        <v>50</v>
      </c>
      <c r="C129" s="2" t="s">
        <v>223</v>
      </c>
      <c r="D129" s="81" t="s">
        <v>224</v>
      </c>
      <c r="E129" s="74"/>
      <c r="F129" s="2" t="s">
        <v>171</v>
      </c>
      <c r="G129" s="14">
        <v>26</v>
      </c>
      <c r="H129" s="64">
        <v>0</v>
      </c>
      <c r="I129" s="14">
        <f t="shared" si="106"/>
        <v>0</v>
      </c>
      <c r="K129" s="54"/>
      <c r="Z129" s="14">
        <f t="shared" si="107"/>
        <v>0</v>
      </c>
      <c r="AB129" s="14">
        <f t="shared" si="108"/>
        <v>0</v>
      </c>
      <c r="AC129" s="14">
        <f t="shared" si="109"/>
        <v>0</v>
      </c>
      <c r="AD129" s="14">
        <f t="shared" si="110"/>
        <v>0</v>
      </c>
      <c r="AE129" s="14">
        <f t="shared" si="111"/>
        <v>0</v>
      </c>
      <c r="AF129" s="14">
        <f t="shared" si="112"/>
        <v>0</v>
      </c>
      <c r="AG129" s="14">
        <f t="shared" si="113"/>
        <v>0</v>
      </c>
      <c r="AH129" s="14">
        <f t="shared" si="114"/>
        <v>0</v>
      </c>
      <c r="AI129" s="49" t="s">
        <v>50</v>
      </c>
      <c r="AJ129" s="14">
        <f t="shared" si="115"/>
        <v>0</v>
      </c>
      <c r="AK129" s="14">
        <f t="shared" si="116"/>
        <v>0</v>
      </c>
      <c r="AL129" s="14">
        <f t="shared" si="117"/>
        <v>0</v>
      </c>
      <c r="AN129" s="14">
        <v>21</v>
      </c>
      <c r="AO129" s="14">
        <f>H129*0</f>
        <v>0</v>
      </c>
      <c r="AP129" s="14">
        <f>H129*(1-0)</f>
        <v>0</v>
      </c>
      <c r="AQ129" s="65" t="s">
        <v>168</v>
      </c>
      <c r="AV129" s="14">
        <f t="shared" si="118"/>
        <v>0</v>
      </c>
      <c r="AW129" s="14">
        <f t="shared" si="119"/>
        <v>0</v>
      </c>
      <c r="AX129" s="14">
        <f t="shared" si="120"/>
        <v>0</v>
      </c>
      <c r="AY129" s="65" t="s">
        <v>222</v>
      </c>
      <c r="AZ129" s="65" t="s">
        <v>367</v>
      </c>
      <c r="BA129" s="49" t="s">
        <v>368</v>
      </c>
      <c r="BC129" s="14">
        <f t="shared" si="121"/>
        <v>0</v>
      </c>
      <c r="BD129" s="14">
        <f t="shared" si="122"/>
        <v>0</v>
      </c>
      <c r="BE129" s="14">
        <v>0</v>
      </c>
      <c r="BF129" s="14">
        <f>129</f>
        <v>129</v>
      </c>
      <c r="BH129" s="14">
        <f t="shared" si="123"/>
        <v>0</v>
      </c>
      <c r="BI129" s="14">
        <f t="shared" si="124"/>
        <v>0</v>
      </c>
      <c r="BJ129" s="14">
        <f t="shared" si="125"/>
        <v>0</v>
      </c>
      <c r="BK129" s="14"/>
      <c r="BL129" s="14">
        <v>18</v>
      </c>
      <c r="BW129" s="14">
        <v>21</v>
      </c>
      <c r="BX129" s="3" t="s">
        <v>224</v>
      </c>
    </row>
    <row r="130" spans="1:76" x14ac:dyDescent="0.25">
      <c r="A130" s="1" t="s">
        <v>416</v>
      </c>
      <c r="B130" s="2" t="s">
        <v>50</v>
      </c>
      <c r="C130" s="2" t="s">
        <v>226</v>
      </c>
      <c r="D130" s="81" t="s">
        <v>227</v>
      </c>
      <c r="E130" s="74"/>
      <c r="F130" s="2" t="s">
        <v>228</v>
      </c>
      <c r="G130" s="14">
        <v>1.3</v>
      </c>
      <c r="H130" s="64">
        <v>0</v>
      </c>
      <c r="I130" s="14">
        <f t="shared" si="106"/>
        <v>0</v>
      </c>
      <c r="K130" s="54"/>
      <c r="Z130" s="14">
        <f t="shared" si="107"/>
        <v>0</v>
      </c>
      <c r="AB130" s="14">
        <f t="shared" si="108"/>
        <v>0</v>
      </c>
      <c r="AC130" s="14">
        <f t="shared" si="109"/>
        <v>0</v>
      </c>
      <c r="AD130" s="14">
        <f t="shared" si="110"/>
        <v>0</v>
      </c>
      <c r="AE130" s="14">
        <f t="shared" si="111"/>
        <v>0</v>
      </c>
      <c r="AF130" s="14">
        <f t="shared" si="112"/>
        <v>0</v>
      </c>
      <c r="AG130" s="14">
        <f t="shared" si="113"/>
        <v>0</v>
      </c>
      <c r="AH130" s="14">
        <f t="shared" si="114"/>
        <v>0</v>
      </c>
      <c r="AI130" s="49" t="s">
        <v>50</v>
      </c>
      <c r="AJ130" s="14">
        <f t="shared" si="115"/>
        <v>0</v>
      </c>
      <c r="AK130" s="14">
        <f t="shared" si="116"/>
        <v>0</v>
      </c>
      <c r="AL130" s="14">
        <f t="shared" si="117"/>
        <v>0</v>
      </c>
      <c r="AN130" s="14">
        <v>21</v>
      </c>
      <c r="AO130" s="14">
        <f>H130*1</f>
        <v>0</v>
      </c>
      <c r="AP130" s="14">
        <f>H130*(1-1)</f>
        <v>0</v>
      </c>
      <c r="AQ130" s="65" t="s">
        <v>168</v>
      </c>
      <c r="AV130" s="14">
        <f t="shared" si="118"/>
        <v>0</v>
      </c>
      <c r="AW130" s="14">
        <f t="shared" si="119"/>
        <v>0</v>
      </c>
      <c r="AX130" s="14">
        <f t="shared" si="120"/>
        <v>0</v>
      </c>
      <c r="AY130" s="65" t="s">
        <v>222</v>
      </c>
      <c r="AZ130" s="65" t="s">
        <v>367</v>
      </c>
      <c r="BA130" s="49" t="s">
        <v>368</v>
      </c>
      <c r="BC130" s="14">
        <f t="shared" si="121"/>
        <v>0</v>
      </c>
      <c r="BD130" s="14">
        <f t="shared" si="122"/>
        <v>0</v>
      </c>
      <c r="BE130" s="14">
        <v>0</v>
      </c>
      <c r="BF130" s="14">
        <f>130</f>
        <v>130</v>
      </c>
      <c r="BH130" s="14">
        <f t="shared" si="123"/>
        <v>0</v>
      </c>
      <c r="BI130" s="14">
        <f t="shared" si="124"/>
        <v>0</v>
      </c>
      <c r="BJ130" s="14">
        <f t="shared" si="125"/>
        <v>0</v>
      </c>
      <c r="BK130" s="14"/>
      <c r="BL130" s="14">
        <v>18</v>
      </c>
      <c r="BW130" s="14">
        <v>21</v>
      </c>
      <c r="BX130" s="3" t="s">
        <v>227</v>
      </c>
    </row>
    <row r="131" spans="1:76" ht="25.5" x14ac:dyDescent="0.25">
      <c r="A131" s="1" t="s">
        <v>417</v>
      </c>
      <c r="B131" s="2" t="s">
        <v>50</v>
      </c>
      <c r="C131" s="2" t="s">
        <v>230</v>
      </c>
      <c r="D131" s="81" t="s">
        <v>231</v>
      </c>
      <c r="E131" s="74"/>
      <c r="F131" s="2" t="s">
        <v>171</v>
      </c>
      <c r="G131" s="14">
        <v>34</v>
      </c>
      <c r="H131" s="64">
        <v>0</v>
      </c>
      <c r="I131" s="14">
        <f t="shared" si="106"/>
        <v>0</v>
      </c>
      <c r="K131" s="54"/>
      <c r="Z131" s="14">
        <f t="shared" si="107"/>
        <v>0</v>
      </c>
      <c r="AB131" s="14">
        <f t="shared" si="108"/>
        <v>0</v>
      </c>
      <c r="AC131" s="14">
        <f t="shared" si="109"/>
        <v>0</v>
      </c>
      <c r="AD131" s="14">
        <f t="shared" si="110"/>
        <v>0</v>
      </c>
      <c r="AE131" s="14">
        <f t="shared" si="111"/>
        <v>0</v>
      </c>
      <c r="AF131" s="14">
        <f t="shared" si="112"/>
        <v>0</v>
      </c>
      <c r="AG131" s="14">
        <f t="shared" si="113"/>
        <v>0</v>
      </c>
      <c r="AH131" s="14">
        <f t="shared" si="114"/>
        <v>0</v>
      </c>
      <c r="AI131" s="49" t="s">
        <v>50</v>
      </c>
      <c r="AJ131" s="14">
        <f t="shared" si="115"/>
        <v>0</v>
      </c>
      <c r="AK131" s="14">
        <f t="shared" si="116"/>
        <v>0</v>
      </c>
      <c r="AL131" s="14">
        <f t="shared" si="117"/>
        <v>0</v>
      </c>
      <c r="AN131" s="14">
        <v>21</v>
      </c>
      <c r="AO131" s="14">
        <f>H131*0</f>
        <v>0</v>
      </c>
      <c r="AP131" s="14">
        <f>H131*(1-0)</f>
        <v>0</v>
      </c>
      <c r="AQ131" s="65" t="s">
        <v>168</v>
      </c>
      <c r="AV131" s="14">
        <f t="shared" si="118"/>
        <v>0</v>
      </c>
      <c r="AW131" s="14">
        <f t="shared" si="119"/>
        <v>0</v>
      </c>
      <c r="AX131" s="14">
        <f t="shared" si="120"/>
        <v>0</v>
      </c>
      <c r="AY131" s="65" t="s">
        <v>222</v>
      </c>
      <c r="AZ131" s="65" t="s">
        <v>367</v>
      </c>
      <c r="BA131" s="49" t="s">
        <v>368</v>
      </c>
      <c r="BC131" s="14">
        <f t="shared" si="121"/>
        <v>0</v>
      </c>
      <c r="BD131" s="14">
        <f t="shared" si="122"/>
        <v>0</v>
      </c>
      <c r="BE131" s="14">
        <v>0</v>
      </c>
      <c r="BF131" s="14">
        <f>131</f>
        <v>131</v>
      </c>
      <c r="BH131" s="14">
        <f t="shared" si="123"/>
        <v>0</v>
      </c>
      <c r="BI131" s="14">
        <f t="shared" si="124"/>
        <v>0</v>
      </c>
      <c r="BJ131" s="14">
        <f t="shared" si="125"/>
        <v>0</v>
      </c>
      <c r="BK131" s="14"/>
      <c r="BL131" s="14">
        <v>18</v>
      </c>
      <c r="BW131" s="14">
        <v>21</v>
      </c>
      <c r="BX131" s="3" t="s">
        <v>231</v>
      </c>
    </row>
    <row r="132" spans="1:76" ht="25.5" x14ac:dyDescent="0.25">
      <c r="A132" s="1" t="s">
        <v>48</v>
      </c>
      <c r="B132" s="2" t="s">
        <v>50</v>
      </c>
      <c r="C132" s="2" t="s">
        <v>232</v>
      </c>
      <c r="D132" s="81" t="s">
        <v>233</v>
      </c>
      <c r="E132" s="74"/>
      <c r="F132" s="2" t="s">
        <v>171</v>
      </c>
      <c r="G132" s="14">
        <v>26</v>
      </c>
      <c r="H132" s="64">
        <v>0</v>
      </c>
      <c r="I132" s="14">
        <f t="shared" si="106"/>
        <v>0</v>
      </c>
      <c r="K132" s="54"/>
      <c r="Z132" s="14">
        <f t="shared" si="107"/>
        <v>0</v>
      </c>
      <c r="AB132" s="14">
        <f t="shared" si="108"/>
        <v>0</v>
      </c>
      <c r="AC132" s="14">
        <f t="shared" si="109"/>
        <v>0</v>
      </c>
      <c r="AD132" s="14">
        <f t="shared" si="110"/>
        <v>0</v>
      </c>
      <c r="AE132" s="14">
        <f t="shared" si="111"/>
        <v>0</v>
      </c>
      <c r="AF132" s="14">
        <f t="shared" si="112"/>
        <v>0</v>
      </c>
      <c r="AG132" s="14">
        <f t="shared" si="113"/>
        <v>0</v>
      </c>
      <c r="AH132" s="14">
        <f t="shared" si="114"/>
        <v>0</v>
      </c>
      <c r="AI132" s="49" t="s">
        <v>50</v>
      </c>
      <c r="AJ132" s="14">
        <f t="shared" si="115"/>
        <v>0</v>
      </c>
      <c r="AK132" s="14">
        <f t="shared" si="116"/>
        <v>0</v>
      </c>
      <c r="AL132" s="14">
        <f t="shared" si="117"/>
        <v>0</v>
      </c>
      <c r="AN132" s="14">
        <v>21</v>
      </c>
      <c r="AO132" s="14">
        <f>H132*0</f>
        <v>0</v>
      </c>
      <c r="AP132" s="14">
        <f>H132*(1-0)</f>
        <v>0</v>
      </c>
      <c r="AQ132" s="65" t="s">
        <v>168</v>
      </c>
      <c r="AV132" s="14">
        <f t="shared" si="118"/>
        <v>0</v>
      </c>
      <c r="AW132" s="14">
        <f t="shared" si="119"/>
        <v>0</v>
      </c>
      <c r="AX132" s="14">
        <f t="shared" si="120"/>
        <v>0</v>
      </c>
      <c r="AY132" s="65" t="s">
        <v>222</v>
      </c>
      <c r="AZ132" s="65" t="s">
        <v>367</v>
      </c>
      <c r="BA132" s="49" t="s">
        <v>368</v>
      </c>
      <c r="BC132" s="14">
        <f t="shared" si="121"/>
        <v>0</v>
      </c>
      <c r="BD132" s="14">
        <f t="shared" si="122"/>
        <v>0</v>
      </c>
      <c r="BE132" s="14">
        <v>0</v>
      </c>
      <c r="BF132" s="14">
        <f>132</f>
        <v>132</v>
      </c>
      <c r="BH132" s="14">
        <f t="shared" si="123"/>
        <v>0</v>
      </c>
      <c r="BI132" s="14">
        <f t="shared" si="124"/>
        <v>0</v>
      </c>
      <c r="BJ132" s="14">
        <f t="shared" si="125"/>
        <v>0</v>
      </c>
      <c r="BK132" s="14"/>
      <c r="BL132" s="14">
        <v>18</v>
      </c>
      <c r="BW132" s="14">
        <v>21</v>
      </c>
      <c r="BX132" s="3" t="s">
        <v>233</v>
      </c>
    </row>
    <row r="133" spans="1:76" ht="25.5" x14ac:dyDescent="0.25">
      <c r="A133" s="1" t="s">
        <v>418</v>
      </c>
      <c r="B133" s="2" t="s">
        <v>50</v>
      </c>
      <c r="C133" s="2" t="s">
        <v>419</v>
      </c>
      <c r="D133" s="81" t="s">
        <v>420</v>
      </c>
      <c r="E133" s="74"/>
      <c r="F133" s="2" t="s">
        <v>333</v>
      </c>
      <c r="G133" s="14">
        <v>2</v>
      </c>
      <c r="H133" s="64">
        <v>0</v>
      </c>
      <c r="I133" s="14">
        <f t="shared" si="106"/>
        <v>0</v>
      </c>
      <c r="K133" s="54"/>
      <c r="Z133" s="14">
        <f t="shared" si="107"/>
        <v>0</v>
      </c>
      <c r="AB133" s="14">
        <f t="shared" si="108"/>
        <v>0</v>
      </c>
      <c r="AC133" s="14">
        <f t="shared" si="109"/>
        <v>0</v>
      </c>
      <c r="AD133" s="14">
        <f t="shared" si="110"/>
        <v>0</v>
      </c>
      <c r="AE133" s="14">
        <f t="shared" si="111"/>
        <v>0</v>
      </c>
      <c r="AF133" s="14">
        <f t="shared" si="112"/>
        <v>0</v>
      </c>
      <c r="AG133" s="14">
        <f t="shared" si="113"/>
        <v>0</v>
      </c>
      <c r="AH133" s="14">
        <f t="shared" si="114"/>
        <v>0</v>
      </c>
      <c r="AI133" s="49" t="s">
        <v>50</v>
      </c>
      <c r="AJ133" s="14">
        <f t="shared" si="115"/>
        <v>0</v>
      </c>
      <c r="AK133" s="14">
        <f t="shared" si="116"/>
        <v>0</v>
      </c>
      <c r="AL133" s="14">
        <f t="shared" si="117"/>
        <v>0</v>
      </c>
      <c r="AN133" s="14">
        <v>21</v>
      </c>
      <c r="AO133" s="14">
        <f>H133*0</f>
        <v>0</v>
      </c>
      <c r="AP133" s="14">
        <f>H133*(1-0)</f>
        <v>0</v>
      </c>
      <c r="AQ133" s="65" t="s">
        <v>168</v>
      </c>
      <c r="AV133" s="14">
        <f t="shared" si="118"/>
        <v>0</v>
      </c>
      <c r="AW133" s="14">
        <f t="shared" si="119"/>
        <v>0</v>
      </c>
      <c r="AX133" s="14">
        <f t="shared" si="120"/>
        <v>0</v>
      </c>
      <c r="AY133" s="65" t="s">
        <v>222</v>
      </c>
      <c r="AZ133" s="65" t="s">
        <v>367</v>
      </c>
      <c r="BA133" s="49" t="s">
        <v>368</v>
      </c>
      <c r="BC133" s="14">
        <f t="shared" si="121"/>
        <v>0</v>
      </c>
      <c r="BD133" s="14">
        <f t="shared" si="122"/>
        <v>0</v>
      </c>
      <c r="BE133" s="14">
        <v>0</v>
      </c>
      <c r="BF133" s="14">
        <f>133</f>
        <v>133</v>
      </c>
      <c r="BH133" s="14">
        <f t="shared" si="123"/>
        <v>0</v>
      </c>
      <c r="BI133" s="14">
        <f t="shared" si="124"/>
        <v>0</v>
      </c>
      <c r="BJ133" s="14">
        <f t="shared" si="125"/>
        <v>0</v>
      </c>
      <c r="BK133" s="14"/>
      <c r="BL133" s="14">
        <v>18</v>
      </c>
      <c r="BW133" s="14">
        <v>21</v>
      </c>
      <c r="BX133" s="3" t="s">
        <v>420</v>
      </c>
    </row>
    <row r="134" spans="1:76" x14ac:dyDescent="0.25">
      <c r="A134" s="1" t="s">
        <v>421</v>
      </c>
      <c r="B134" s="2" t="s">
        <v>50</v>
      </c>
      <c r="C134" s="2" t="s">
        <v>235</v>
      </c>
      <c r="D134" s="81" t="s">
        <v>236</v>
      </c>
      <c r="E134" s="74"/>
      <c r="F134" s="2" t="s">
        <v>190</v>
      </c>
      <c r="G134" s="14">
        <v>1.3260000000000001</v>
      </c>
      <c r="H134" s="64">
        <v>0</v>
      </c>
      <c r="I134" s="14">
        <f t="shared" si="106"/>
        <v>0</v>
      </c>
      <c r="K134" s="54"/>
      <c r="Z134" s="14">
        <f t="shared" si="107"/>
        <v>0</v>
      </c>
      <c r="AB134" s="14">
        <f t="shared" si="108"/>
        <v>0</v>
      </c>
      <c r="AC134" s="14">
        <f t="shared" si="109"/>
        <v>0</v>
      </c>
      <c r="AD134" s="14">
        <f t="shared" si="110"/>
        <v>0</v>
      </c>
      <c r="AE134" s="14">
        <f t="shared" si="111"/>
        <v>0</v>
      </c>
      <c r="AF134" s="14">
        <f t="shared" si="112"/>
        <v>0</v>
      </c>
      <c r="AG134" s="14">
        <f t="shared" si="113"/>
        <v>0</v>
      </c>
      <c r="AH134" s="14">
        <f t="shared" si="114"/>
        <v>0</v>
      </c>
      <c r="AI134" s="49" t="s">
        <v>50</v>
      </c>
      <c r="AJ134" s="14">
        <f t="shared" si="115"/>
        <v>0</v>
      </c>
      <c r="AK134" s="14">
        <f t="shared" si="116"/>
        <v>0</v>
      </c>
      <c r="AL134" s="14">
        <f t="shared" si="117"/>
        <v>0</v>
      </c>
      <c r="AN134" s="14">
        <v>21</v>
      </c>
      <c r="AO134" s="14">
        <f>H134*1</f>
        <v>0</v>
      </c>
      <c r="AP134" s="14">
        <f>H134*(1-1)</f>
        <v>0</v>
      </c>
      <c r="AQ134" s="65" t="s">
        <v>168</v>
      </c>
      <c r="AV134" s="14">
        <f t="shared" si="118"/>
        <v>0</v>
      </c>
      <c r="AW134" s="14">
        <f t="shared" si="119"/>
        <v>0</v>
      </c>
      <c r="AX134" s="14">
        <f t="shared" si="120"/>
        <v>0</v>
      </c>
      <c r="AY134" s="65" t="s">
        <v>222</v>
      </c>
      <c r="AZ134" s="65" t="s">
        <v>367</v>
      </c>
      <c r="BA134" s="49" t="s">
        <v>368</v>
      </c>
      <c r="BC134" s="14">
        <f t="shared" si="121"/>
        <v>0</v>
      </c>
      <c r="BD134" s="14">
        <f t="shared" si="122"/>
        <v>0</v>
      </c>
      <c r="BE134" s="14">
        <v>0</v>
      </c>
      <c r="BF134" s="14">
        <f>134</f>
        <v>134</v>
      </c>
      <c r="BH134" s="14">
        <f t="shared" si="123"/>
        <v>0</v>
      </c>
      <c r="BI134" s="14">
        <f t="shared" si="124"/>
        <v>0</v>
      </c>
      <c r="BJ134" s="14">
        <f t="shared" si="125"/>
        <v>0</v>
      </c>
      <c r="BK134" s="14"/>
      <c r="BL134" s="14">
        <v>18</v>
      </c>
      <c r="BW134" s="14">
        <v>21</v>
      </c>
      <c r="BX134" s="3" t="s">
        <v>236</v>
      </c>
    </row>
    <row r="135" spans="1:76" x14ac:dyDescent="0.25">
      <c r="A135" s="1" t="s">
        <v>40</v>
      </c>
      <c r="B135" s="2" t="s">
        <v>50</v>
      </c>
      <c r="C135" s="2" t="s">
        <v>238</v>
      </c>
      <c r="D135" s="81" t="s">
        <v>239</v>
      </c>
      <c r="E135" s="74"/>
      <c r="F135" s="2" t="s">
        <v>171</v>
      </c>
      <c r="G135" s="14">
        <v>26</v>
      </c>
      <c r="H135" s="64">
        <v>0</v>
      </c>
      <c r="I135" s="14">
        <f t="shared" si="106"/>
        <v>0</v>
      </c>
      <c r="K135" s="54"/>
      <c r="Z135" s="14">
        <f t="shared" si="107"/>
        <v>0</v>
      </c>
      <c r="AB135" s="14">
        <f t="shared" si="108"/>
        <v>0</v>
      </c>
      <c r="AC135" s="14">
        <f t="shared" si="109"/>
        <v>0</v>
      </c>
      <c r="AD135" s="14">
        <f t="shared" si="110"/>
        <v>0</v>
      </c>
      <c r="AE135" s="14">
        <f t="shared" si="111"/>
        <v>0</v>
      </c>
      <c r="AF135" s="14">
        <f t="shared" si="112"/>
        <v>0</v>
      </c>
      <c r="AG135" s="14">
        <f t="shared" si="113"/>
        <v>0</v>
      </c>
      <c r="AH135" s="14">
        <f t="shared" si="114"/>
        <v>0</v>
      </c>
      <c r="AI135" s="49" t="s">
        <v>50</v>
      </c>
      <c r="AJ135" s="14">
        <f t="shared" si="115"/>
        <v>0</v>
      </c>
      <c r="AK135" s="14">
        <f t="shared" si="116"/>
        <v>0</v>
      </c>
      <c r="AL135" s="14">
        <f t="shared" si="117"/>
        <v>0</v>
      </c>
      <c r="AN135" s="14">
        <v>21</v>
      </c>
      <c r="AO135" s="14">
        <f>H135*0</f>
        <v>0</v>
      </c>
      <c r="AP135" s="14">
        <f>H135*(1-0)</f>
        <v>0</v>
      </c>
      <c r="AQ135" s="65" t="s">
        <v>168</v>
      </c>
      <c r="AV135" s="14">
        <f t="shared" si="118"/>
        <v>0</v>
      </c>
      <c r="AW135" s="14">
        <f t="shared" si="119"/>
        <v>0</v>
      </c>
      <c r="AX135" s="14">
        <f t="shared" si="120"/>
        <v>0</v>
      </c>
      <c r="AY135" s="65" t="s">
        <v>222</v>
      </c>
      <c r="AZ135" s="65" t="s">
        <v>367</v>
      </c>
      <c r="BA135" s="49" t="s">
        <v>368</v>
      </c>
      <c r="BC135" s="14">
        <f t="shared" si="121"/>
        <v>0</v>
      </c>
      <c r="BD135" s="14">
        <f t="shared" si="122"/>
        <v>0</v>
      </c>
      <c r="BE135" s="14">
        <v>0</v>
      </c>
      <c r="BF135" s="14">
        <f>135</f>
        <v>135</v>
      </c>
      <c r="BH135" s="14">
        <f t="shared" si="123"/>
        <v>0</v>
      </c>
      <c r="BI135" s="14">
        <f t="shared" si="124"/>
        <v>0</v>
      </c>
      <c r="BJ135" s="14">
        <f t="shared" si="125"/>
        <v>0</v>
      </c>
      <c r="BK135" s="14"/>
      <c r="BL135" s="14">
        <v>18</v>
      </c>
      <c r="BW135" s="14">
        <v>21</v>
      </c>
      <c r="BX135" s="3" t="s">
        <v>239</v>
      </c>
    </row>
    <row r="136" spans="1:76" x14ac:dyDescent="0.25">
      <c r="A136" s="1" t="s">
        <v>422</v>
      </c>
      <c r="B136" s="2" t="s">
        <v>50</v>
      </c>
      <c r="C136" s="2" t="s">
        <v>241</v>
      </c>
      <c r="D136" s="81" t="s">
        <v>242</v>
      </c>
      <c r="E136" s="74"/>
      <c r="F136" s="2" t="s">
        <v>171</v>
      </c>
      <c r="G136" s="14">
        <v>26</v>
      </c>
      <c r="H136" s="64">
        <v>0</v>
      </c>
      <c r="I136" s="14">
        <f t="shared" si="106"/>
        <v>0</v>
      </c>
      <c r="K136" s="54"/>
      <c r="Z136" s="14">
        <f t="shared" si="107"/>
        <v>0</v>
      </c>
      <c r="AB136" s="14">
        <f t="shared" si="108"/>
        <v>0</v>
      </c>
      <c r="AC136" s="14">
        <f t="shared" si="109"/>
        <v>0</v>
      </c>
      <c r="AD136" s="14">
        <f t="shared" si="110"/>
        <v>0</v>
      </c>
      <c r="AE136" s="14">
        <f t="shared" si="111"/>
        <v>0</v>
      </c>
      <c r="AF136" s="14">
        <f t="shared" si="112"/>
        <v>0</v>
      </c>
      <c r="AG136" s="14">
        <f t="shared" si="113"/>
        <v>0</v>
      </c>
      <c r="AH136" s="14">
        <f t="shared" si="114"/>
        <v>0</v>
      </c>
      <c r="AI136" s="49" t="s">
        <v>50</v>
      </c>
      <c r="AJ136" s="14">
        <f t="shared" si="115"/>
        <v>0</v>
      </c>
      <c r="AK136" s="14">
        <f t="shared" si="116"/>
        <v>0</v>
      </c>
      <c r="AL136" s="14">
        <f t="shared" si="117"/>
        <v>0</v>
      </c>
      <c r="AN136" s="14">
        <v>21</v>
      </c>
      <c r="AO136" s="14">
        <f>H136*0</f>
        <v>0</v>
      </c>
      <c r="AP136" s="14">
        <f>H136*(1-0)</f>
        <v>0</v>
      </c>
      <c r="AQ136" s="65" t="s">
        <v>168</v>
      </c>
      <c r="AV136" s="14">
        <f t="shared" si="118"/>
        <v>0</v>
      </c>
      <c r="AW136" s="14">
        <f t="shared" si="119"/>
        <v>0</v>
      </c>
      <c r="AX136" s="14">
        <f t="shared" si="120"/>
        <v>0</v>
      </c>
      <c r="AY136" s="65" t="s">
        <v>222</v>
      </c>
      <c r="AZ136" s="65" t="s">
        <v>367</v>
      </c>
      <c r="BA136" s="49" t="s">
        <v>368</v>
      </c>
      <c r="BC136" s="14">
        <f t="shared" si="121"/>
        <v>0</v>
      </c>
      <c r="BD136" s="14">
        <f t="shared" si="122"/>
        <v>0</v>
      </c>
      <c r="BE136" s="14">
        <v>0</v>
      </c>
      <c r="BF136" s="14">
        <f>136</f>
        <v>136</v>
      </c>
      <c r="BH136" s="14">
        <f t="shared" si="123"/>
        <v>0</v>
      </c>
      <c r="BI136" s="14">
        <f t="shared" si="124"/>
        <v>0</v>
      </c>
      <c r="BJ136" s="14">
        <f t="shared" si="125"/>
        <v>0</v>
      </c>
      <c r="BK136" s="14"/>
      <c r="BL136" s="14">
        <v>18</v>
      </c>
      <c r="BW136" s="14">
        <v>21</v>
      </c>
      <c r="BX136" s="3" t="s">
        <v>242</v>
      </c>
    </row>
    <row r="137" spans="1:76" x14ac:dyDescent="0.25">
      <c r="A137" s="60" t="s">
        <v>20</v>
      </c>
      <c r="B137" s="61" t="s">
        <v>50</v>
      </c>
      <c r="C137" s="61" t="s">
        <v>34</v>
      </c>
      <c r="D137" s="162" t="s">
        <v>35</v>
      </c>
      <c r="E137" s="163"/>
      <c r="F137" s="62" t="s">
        <v>13</v>
      </c>
      <c r="G137" s="62" t="s">
        <v>13</v>
      </c>
      <c r="H137" s="63" t="s">
        <v>13</v>
      </c>
      <c r="I137" s="43">
        <f>SUM(I138:I138)</f>
        <v>0</v>
      </c>
      <c r="K137" s="54"/>
      <c r="AI137" s="49" t="s">
        <v>50</v>
      </c>
      <c r="AS137" s="43">
        <f>SUM(AJ138:AJ138)</f>
        <v>0</v>
      </c>
      <c r="AT137" s="43">
        <f>SUM(AK138:AK138)</f>
        <v>0</v>
      </c>
      <c r="AU137" s="43">
        <f>SUM(AL138:AL138)</f>
        <v>0</v>
      </c>
    </row>
    <row r="138" spans="1:76" x14ac:dyDescent="0.25">
      <c r="A138" s="1" t="s">
        <v>423</v>
      </c>
      <c r="B138" s="2" t="s">
        <v>50</v>
      </c>
      <c r="C138" s="2" t="s">
        <v>244</v>
      </c>
      <c r="D138" s="81" t="s">
        <v>245</v>
      </c>
      <c r="E138" s="74"/>
      <c r="F138" s="2" t="s">
        <v>190</v>
      </c>
      <c r="G138" s="14">
        <v>1.1399999999999999</v>
      </c>
      <c r="H138" s="64">
        <v>0</v>
      </c>
      <c r="I138" s="14">
        <f>G138*H138</f>
        <v>0</v>
      </c>
      <c r="K138" s="54"/>
      <c r="Z138" s="14">
        <f>IF(AQ138="5",BJ138,0)</f>
        <v>0</v>
      </c>
      <c r="AB138" s="14">
        <f>IF(AQ138="1",BH138,0)</f>
        <v>0</v>
      </c>
      <c r="AC138" s="14">
        <f>IF(AQ138="1",BI138,0)</f>
        <v>0</v>
      </c>
      <c r="AD138" s="14">
        <f>IF(AQ138="7",BH138,0)</f>
        <v>0</v>
      </c>
      <c r="AE138" s="14">
        <f>IF(AQ138="7",BI138,0)</f>
        <v>0</v>
      </c>
      <c r="AF138" s="14">
        <f>IF(AQ138="2",BH138,0)</f>
        <v>0</v>
      </c>
      <c r="AG138" s="14">
        <f>IF(AQ138="2",BI138,0)</f>
        <v>0</v>
      </c>
      <c r="AH138" s="14">
        <f>IF(AQ138="0",BJ138,0)</f>
        <v>0</v>
      </c>
      <c r="AI138" s="49" t="s">
        <v>50</v>
      </c>
      <c r="AJ138" s="14">
        <f>IF(AN138=0,I138,0)</f>
        <v>0</v>
      </c>
      <c r="AK138" s="14">
        <f>IF(AN138=12,I138,0)</f>
        <v>0</v>
      </c>
      <c r="AL138" s="14">
        <f>IF(AN138=21,I138,0)</f>
        <v>0</v>
      </c>
      <c r="AN138" s="14">
        <v>21</v>
      </c>
      <c r="AO138" s="14">
        <f>H138*0</f>
        <v>0</v>
      </c>
      <c r="AP138" s="14">
        <f>H138*(1-0)</f>
        <v>0</v>
      </c>
      <c r="AQ138" s="65" t="s">
        <v>168</v>
      </c>
      <c r="AV138" s="14">
        <f>AW138+AX138</f>
        <v>0</v>
      </c>
      <c r="AW138" s="14">
        <f>G138*AO138</f>
        <v>0</v>
      </c>
      <c r="AX138" s="14">
        <f>G138*AP138</f>
        <v>0</v>
      </c>
      <c r="AY138" s="65" t="s">
        <v>246</v>
      </c>
      <c r="AZ138" s="65" t="s">
        <v>424</v>
      </c>
      <c r="BA138" s="49" t="s">
        <v>368</v>
      </c>
      <c r="BC138" s="14">
        <f>AW138+AX138</f>
        <v>0</v>
      </c>
      <c r="BD138" s="14">
        <f>H138/(100-BE138)*100</f>
        <v>0</v>
      </c>
      <c r="BE138" s="14">
        <v>0</v>
      </c>
      <c r="BF138" s="14">
        <f>138</f>
        <v>138</v>
      </c>
      <c r="BH138" s="14">
        <f>G138*AO138</f>
        <v>0</v>
      </c>
      <c r="BI138" s="14">
        <f>G138*AP138</f>
        <v>0</v>
      </c>
      <c r="BJ138" s="14">
        <f>G138*H138</f>
        <v>0</v>
      </c>
      <c r="BK138" s="14"/>
      <c r="BL138" s="14">
        <v>27</v>
      </c>
      <c r="BW138" s="14">
        <v>21</v>
      </c>
      <c r="BX138" s="3" t="s">
        <v>245</v>
      </c>
    </row>
    <row r="139" spans="1:76" x14ac:dyDescent="0.25">
      <c r="A139" s="60" t="s">
        <v>20</v>
      </c>
      <c r="B139" s="61" t="s">
        <v>50</v>
      </c>
      <c r="C139" s="61" t="s">
        <v>52</v>
      </c>
      <c r="D139" s="162" t="s">
        <v>53</v>
      </c>
      <c r="E139" s="163"/>
      <c r="F139" s="62" t="s">
        <v>13</v>
      </c>
      <c r="G139" s="62" t="s">
        <v>13</v>
      </c>
      <c r="H139" s="63" t="s">
        <v>13</v>
      </c>
      <c r="I139" s="43">
        <f>SUM(I140:I141)</f>
        <v>0</v>
      </c>
      <c r="K139" s="54"/>
      <c r="AI139" s="49" t="s">
        <v>50</v>
      </c>
      <c r="AS139" s="43">
        <f>SUM(AJ140:AJ141)</f>
        <v>0</v>
      </c>
      <c r="AT139" s="43">
        <f>SUM(AK140:AK141)</f>
        <v>0</v>
      </c>
      <c r="AU139" s="43">
        <f>SUM(AL140:AL141)</f>
        <v>0</v>
      </c>
    </row>
    <row r="140" spans="1:76" ht="25.5" x14ac:dyDescent="0.25">
      <c r="A140" s="1" t="s">
        <v>425</v>
      </c>
      <c r="B140" s="2" t="s">
        <v>50</v>
      </c>
      <c r="C140" s="2" t="s">
        <v>426</v>
      </c>
      <c r="D140" s="81" t="s">
        <v>427</v>
      </c>
      <c r="E140" s="74"/>
      <c r="F140" s="2" t="s">
        <v>171</v>
      </c>
      <c r="G140" s="14">
        <v>34</v>
      </c>
      <c r="H140" s="64">
        <v>0</v>
      </c>
      <c r="I140" s="14">
        <f>G140*H140</f>
        <v>0</v>
      </c>
      <c r="K140" s="54"/>
      <c r="Z140" s="14">
        <f>IF(AQ140="5",BJ140,0)</f>
        <v>0</v>
      </c>
      <c r="AB140" s="14">
        <f>IF(AQ140="1",BH140,0)</f>
        <v>0</v>
      </c>
      <c r="AC140" s="14">
        <f>IF(AQ140="1",BI140,0)</f>
        <v>0</v>
      </c>
      <c r="AD140" s="14">
        <f>IF(AQ140="7",BH140,0)</f>
        <v>0</v>
      </c>
      <c r="AE140" s="14">
        <f>IF(AQ140="7",BI140,0)</f>
        <v>0</v>
      </c>
      <c r="AF140" s="14">
        <f>IF(AQ140="2",BH140,0)</f>
        <v>0</v>
      </c>
      <c r="AG140" s="14">
        <f>IF(AQ140="2",BI140,0)</f>
        <v>0</v>
      </c>
      <c r="AH140" s="14">
        <f>IF(AQ140="0",BJ140,0)</f>
        <v>0</v>
      </c>
      <c r="AI140" s="49" t="s">
        <v>50</v>
      </c>
      <c r="AJ140" s="14">
        <f>IF(AN140=0,I140,0)</f>
        <v>0</v>
      </c>
      <c r="AK140" s="14">
        <f>IF(AN140=12,I140,0)</f>
        <v>0</v>
      </c>
      <c r="AL140" s="14">
        <f>IF(AN140=21,I140,0)</f>
        <v>0</v>
      </c>
      <c r="AN140" s="14">
        <v>21</v>
      </c>
      <c r="AO140" s="14">
        <f>H140*0</f>
        <v>0</v>
      </c>
      <c r="AP140" s="14">
        <f>H140*(1-0)</f>
        <v>0</v>
      </c>
      <c r="AQ140" s="65" t="s">
        <v>168</v>
      </c>
      <c r="AV140" s="14">
        <f>AW140+AX140</f>
        <v>0</v>
      </c>
      <c r="AW140" s="14">
        <f>G140*AO140</f>
        <v>0</v>
      </c>
      <c r="AX140" s="14">
        <f>G140*AP140</f>
        <v>0</v>
      </c>
      <c r="AY140" s="65" t="s">
        <v>428</v>
      </c>
      <c r="AZ140" s="65" t="s">
        <v>429</v>
      </c>
      <c r="BA140" s="49" t="s">
        <v>368</v>
      </c>
      <c r="BC140" s="14">
        <f>AW140+AX140</f>
        <v>0</v>
      </c>
      <c r="BD140" s="14">
        <f>H140/(100-BE140)*100</f>
        <v>0</v>
      </c>
      <c r="BE140" s="14">
        <v>0</v>
      </c>
      <c r="BF140" s="14">
        <f>140</f>
        <v>140</v>
      </c>
      <c r="BH140" s="14">
        <f>G140*AO140</f>
        <v>0</v>
      </c>
      <c r="BI140" s="14">
        <f>G140*AP140</f>
        <v>0</v>
      </c>
      <c r="BJ140" s="14">
        <f>G140*H140</f>
        <v>0</v>
      </c>
      <c r="BK140" s="14"/>
      <c r="BL140" s="14">
        <v>56</v>
      </c>
      <c r="BW140" s="14">
        <v>21</v>
      </c>
      <c r="BX140" s="3" t="s">
        <v>427</v>
      </c>
    </row>
    <row r="141" spans="1:76" ht="25.5" x14ac:dyDescent="0.25">
      <c r="A141" s="1" t="s">
        <v>430</v>
      </c>
      <c r="B141" s="2" t="s">
        <v>50</v>
      </c>
      <c r="C141" s="2" t="s">
        <v>431</v>
      </c>
      <c r="D141" s="81" t="s">
        <v>432</v>
      </c>
      <c r="E141" s="74"/>
      <c r="F141" s="2" t="s">
        <v>171</v>
      </c>
      <c r="G141" s="14">
        <v>34</v>
      </c>
      <c r="H141" s="64">
        <v>0</v>
      </c>
      <c r="I141" s="14">
        <f>G141*H141</f>
        <v>0</v>
      </c>
      <c r="K141" s="54"/>
      <c r="Z141" s="14">
        <f>IF(AQ141="5",BJ141,0)</f>
        <v>0</v>
      </c>
      <c r="AB141" s="14">
        <f>IF(AQ141="1",BH141,0)</f>
        <v>0</v>
      </c>
      <c r="AC141" s="14">
        <f>IF(AQ141="1",BI141,0)</f>
        <v>0</v>
      </c>
      <c r="AD141" s="14">
        <f>IF(AQ141="7",BH141,0)</f>
        <v>0</v>
      </c>
      <c r="AE141" s="14">
        <f>IF(AQ141="7",BI141,0)</f>
        <v>0</v>
      </c>
      <c r="AF141" s="14">
        <f>IF(AQ141="2",BH141,0)</f>
        <v>0</v>
      </c>
      <c r="AG141" s="14">
        <f>IF(AQ141="2",BI141,0)</f>
        <v>0</v>
      </c>
      <c r="AH141" s="14">
        <f>IF(AQ141="0",BJ141,0)</f>
        <v>0</v>
      </c>
      <c r="AI141" s="49" t="s">
        <v>50</v>
      </c>
      <c r="AJ141" s="14">
        <f>IF(AN141=0,I141,0)</f>
        <v>0</v>
      </c>
      <c r="AK141" s="14">
        <f>IF(AN141=12,I141,0)</f>
        <v>0</v>
      </c>
      <c r="AL141" s="14">
        <f>IF(AN141=21,I141,0)</f>
        <v>0</v>
      </c>
      <c r="AN141" s="14">
        <v>21</v>
      </c>
      <c r="AO141" s="14">
        <f>H141*0</f>
        <v>0</v>
      </c>
      <c r="AP141" s="14">
        <f>H141*(1-0)</f>
        <v>0</v>
      </c>
      <c r="AQ141" s="65" t="s">
        <v>168</v>
      </c>
      <c r="AV141" s="14">
        <f>AW141+AX141</f>
        <v>0</v>
      </c>
      <c r="AW141" s="14">
        <f>G141*AO141</f>
        <v>0</v>
      </c>
      <c r="AX141" s="14">
        <f>G141*AP141</f>
        <v>0</v>
      </c>
      <c r="AY141" s="65" t="s">
        <v>428</v>
      </c>
      <c r="AZ141" s="65" t="s">
        <v>429</v>
      </c>
      <c r="BA141" s="49" t="s">
        <v>368</v>
      </c>
      <c r="BC141" s="14">
        <f>AW141+AX141</f>
        <v>0</v>
      </c>
      <c r="BD141" s="14">
        <f>H141/(100-BE141)*100</f>
        <v>0</v>
      </c>
      <c r="BE141" s="14">
        <v>0</v>
      </c>
      <c r="BF141" s="14">
        <f>141</f>
        <v>141</v>
      </c>
      <c r="BH141" s="14">
        <f>G141*AO141</f>
        <v>0</v>
      </c>
      <c r="BI141" s="14">
        <f>G141*AP141</f>
        <v>0</v>
      </c>
      <c r="BJ141" s="14">
        <f>G141*H141</f>
        <v>0</v>
      </c>
      <c r="BK141" s="14"/>
      <c r="BL141" s="14">
        <v>56</v>
      </c>
      <c r="BW141" s="14">
        <v>21</v>
      </c>
      <c r="BX141" s="3" t="s">
        <v>432</v>
      </c>
    </row>
    <row r="142" spans="1:76" x14ac:dyDescent="0.25">
      <c r="A142" s="60" t="s">
        <v>20</v>
      </c>
      <c r="B142" s="61" t="s">
        <v>50</v>
      </c>
      <c r="C142" s="61" t="s">
        <v>54</v>
      </c>
      <c r="D142" s="162" t="s">
        <v>55</v>
      </c>
      <c r="E142" s="163"/>
      <c r="F142" s="62" t="s">
        <v>13</v>
      </c>
      <c r="G142" s="62" t="s">
        <v>13</v>
      </c>
      <c r="H142" s="63" t="s">
        <v>13</v>
      </c>
      <c r="I142" s="43">
        <f>SUM(I143:I148)</f>
        <v>0</v>
      </c>
      <c r="K142" s="54"/>
      <c r="AI142" s="49" t="s">
        <v>50</v>
      </c>
      <c r="AS142" s="43">
        <f>SUM(AJ143:AJ148)</f>
        <v>0</v>
      </c>
      <c r="AT142" s="43">
        <f>SUM(AK143:AK148)</f>
        <v>0</v>
      </c>
      <c r="AU142" s="43">
        <f>SUM(AL143:AL148)</f>
        <v>0</v>
      </c>
    </row>
    <row r="143" spans="1:76" ht="25.5" x14ac:dyDescent="0.25">
      <c r="A143" s="1" t="s">
        <v>433</v>
      </c>
      <c r="B143" s="2" t="s">
        <v>50</v>
      </c>
      <c r="C143" s="2" t="s">
        <v>434</v>
      </c>
      <c r="D143" s="81" t="s">
        <v>435</v>
      </c>
      <c r="E143" s="74"/>
      <c r="F143" s="2" t="s">
        <v>171</v>
      </c>
      <c r="G143" s="14">
        <v>34</v>
      </c>
      <c r="H143" s="64">
        <v>0</v>
      </c>
      <c r="I143" s="14">
        <f t="shared" ref="I143:I148" si="126">G143*H143</f>
        <v>0</v>
      </c>
      <c r="K143" s="54"/>
      <c r="Z143" s="14">
        <f t="shared" ref="Z143:Z148" si="127">IF(AQ143="5",BJ143,0)</f>
        <v>0</v>
      </c>
      <c r="AB143" s="14">
        <f t="shared" ref="AB143:AB148" si="128">IF(AQ143="1",BH143,0)</f>
        <v>0</v>
      </c>
      <c r="AC143" s="14">
        <f t="shared" ref="AC143:AC148" si="129">IF(AQ143="1",BI143,0)</f>
        <v>0</v>
      </c>
      <c r="AD143" s="14">
        <f t="shared" ref="AD143:AD148" si="130">IF(AQ143="7",BH143,0)</f>
        <v>0</v>
      </c>
      <c r="AE143" s="14">
        <f t="shared" ref="AE143:AE148" si="131">IF(AQ143="7",BI143,0)</f>
        <v>0</v>
      </c>
      <c r="AF143" s="14">
        <f t="shared" ref="AF143:AF148" si="132">IF(AQ143="2",BH143,0)</f>
        <v>0</v>
      </c>
      <c r="AG143" s="14">
        <f t="shared" ref="AG143:AG148" si="133">IF(AQ143="2",BI143,0)</f>
        <v>0</v>
      </c>
      <c r="AH143" s="14">
        <f t="shared" ref="AH143:AH148" si="134">IF(AQ143="0",BJ143,0)</f>
        <v>0</v>
      </c>
      <c r="AI143" s="49" t="s">
        <v>50</v>
      </c>
      <c r="AJ143" s="14">
        <f t="shared" ref="AJ143:AJ148" si="135">IF(AN143=0,I143,0)</f>
        <v>0</v>
      </c>
      <c r="AK143" s="14">
        <f t="shared" ref="AK143:AK148" si="136">IF(AN143=12,I143,0)</f>
        <v>0</v>
      </c>
      <c r="AL143" s="14">
        <f t="shared" ref="AL143:AL148" si="137">IF(AN143=21,I143,0)</f>
        <v>0</v>
      </c>
      <c r="AN143" s="14">
        <v>21</v>
      </c>
      <c r="AO143" s="14">
        <f t="shared" ref="AO143:AO148" si="138">H143*0</f>
        <v>0</v>
      </c>
      <c r="AP143" s="14">
        <f t="shared" ref="AP143:AP148" si="139">H143*(1-0)</f>
        <v>0</v>
      </c>
      <c r="AQ143" s="65" t="s">
        <v>168</v>
      </c>
      <c r="AV143" s="14">
        <f t="shared" ref="AV143:AV148" si="140">AW143+AX143</f>
        <v>0</v>
      </c>
      <c r="AW143" s="14">
        <f t="shared" ref="AW143:AW148" si="141">G143*AO143</f>
        <v>0</v>
      </c>
      <c r="AX143" s="14">
        <f t="shared" ref="AX143:AX148" si="142">G143*AP143</f>
        <v>0</v>
      </c>
      <c r="AY143" s="65" t="s">
        <v>436</v>
      </c>
      <c r="AZ143" s="65" t="s">
        <v>429</v>
      </c>
      <c r="BA143" s="49" t="s">
        <v>368</v>
      </c>
      <c r="BC143" s="14">
        <f t="shared" ref="BC143:BC148" si="143">AW143+AX143</f>
        <v>0</v>
      </c>
      <c r="BD143" s="14">
        <f t="shared" ref="BD143:BD148" si="144">H143/(100-BE143)*100</f>
        <v>0</v>
      </c>
      <c r="BE143" s="14">
        <v>0</v>
      </c>
      <c r="BF143" s="14">
        <f>143</f>
        <v>143</v>
      </c>
      <c r="BH143" s="14">
        <f t="shared" ref="BH143:BH148" si="145">G143*AO143</f>
        <v>0</v>
      </c>
      <c r="BI143" s="14">
        <f t="shared" ref="BI143:BI148" si="146">G143*AP143</f>
        <v>0</v>
      </c>
      <c r="BJ143" s="14">
        <f t="shared" ref="BJ143:BJ148" si="147">G143*H143</f>
        <v>0</v>
      </c>
      <c r="BK143" s="14"/>
      <c r="BL143" s="14">
        <v>59</v>
      </c>
      <c r="BW143" s="14">
        <v>21</v>
      </c>
      <c r="BX143" s="3" t="s">
        <v>435</v>
      </c>
    </row>
    <row r="144" spans="1:76" x14ac:dyDescent="0.25">
      <c r="A144" s="1" t="s">
        <v>437</v>
      </c>
      <c r="B144" s="2" t="s">
        <v>50</v>
      </c>
      <c r="C144" s="2" t="s">
        <v>438</v>
      </c>
      <c r="D144" s="81" t="s">
        <v>439</v>
      </c>
      <c r="E144" s="74"/>
      <c r="F144" s="2" t="s">
        <v>171</v>
      </c>
      <c r="G144" s="14">
        <v>13.65</v>
      </c>
      <c r="H144" s="64">
        <v>0</v>
      </c>
      <c r="I144" s="14">
        <f t="shared" si="126"/>
        <v>0</v>
      </c>
      <c r="K144" s="54"/>
      <c r="Z144" s="14">
        <f t="shared" si="127"/>
        <v>0</v>
      </c>
      <c r="AB144" s="14">
        <f t="shared" si="128"/>
        <v>0</v>
      </c>
      <c r="AC144" s="14">
        <f t="shared" si="129"/>
        <v>0</v>
      </c>
      <c r="AD144" s="14">
        <f t="shared" si="130"/>
        <v>0</v>
      </c>
      <c r="AE144" s="14">
        <f t="shared" si="131"/>
        <v>0</v>
      </c>
      <c r="AF144" s="14">
        <f t="shared" si="132"/>
        <v>0</v>
      </c>
      <c r="AG144" s="14">
        <f t="shared" si="133"/>
        <v>0</v>
      </c>
      <c r="AH144" s="14">
        <f t="shared" si="134"/>
        <v>0</v>
      </c>
      <c r="AI144" s="49" t="s">
        <v>50</v>
      </c>
      <c r="AJ144" s="14">
        <f t="shared" si="135"/>
        <v>0</v>
      </c>
      <c r="AK144" s="14">
        <f t="shared" si="136"/>
        <v>0</v>
      </c>
      <c r="AL144" s="14">
        <f t="shared" si="137"/>
        <v>0</v>
      </c>
      <c r="AN144" s="14">
        <v>21</v>
      </c>
      <c r="AO144" s="14">
        <f t="shared" si="138"/>
        <v>0</v>
      </c>
      <c r="AP144" s="14">
        <f t="shared" si="139"/>
        <v>0</v>
      </c>
      <c r="AQ144" s="65" t="s">
        <v>168</v>
      </c>
      <c r="AV144" s="14">
        <f t="shared" si="140"/>
        <v>0</v>
      </c>
      <c r="AW144" s="14">
        <f t="shared" si="141"/>
        <v>0</v>
      </c>
      <c r="AX144" s="14">
        <f t="shared" si="142"/>
        <v>0</v>
      </c>
      <c r="AY144" s="65" t="s">
        <v>436</v>
      </c>
      <c r="AZ144" s="65" t="s">
        <v>429</v>
      </c>
      <c r="BA144" s="49" t="s">
        <v>368</v>
      </c>
      <c r="BC144" s="14">
        <f t="shared" si="143"/>
        <v>0</v>
      </c>
      <c r="BD144" s="14">
        <f t="shared" si="144"/>
        <v>0</v>
      </c>
      <c r="BE144" s="14">
        <v>0</v>
      </c>
      <c r="BF144" s="14">
        <f>144</f>
        <v>144</v>
      </c>
      <c r="BH144" s="14">
        <f t="shared" si="145"/>
        <v>0</v>
      </c>
      <c r="BI144" s="14">
        <f t="shared" si="146"/>
        <v>0</v>
      </c>
      <c r="BJ144" s="14">
        <f t="shared" si="147"/>
        <v>0</v>
      </c>
      <c r="BK144" s="14"/>
      <c r="BL144" s="14">
        <v>59</v>
      </c>
      <c r="BW144" s="14">
        <v>21</v>
      </c>
      <c r="BX144" s="3" t="s">
        <v>439</v>
      </c>
    </row>
    <row r="145" spans="1:76" x14ac:dyDescent="0.25">
      <c r="A145" s="1" t="s">
        <v>440</v>
      </c>
      <c r="B145" s="2" t="s">
        <v>50</v>
      </c>
      <c r="C145" s="2" t="s">
        <v>441</v>
      </c>
      <c r="D145" s="81" t="s">
        <v>442</v>
      </c>
      <c r="E145" s="74"/>
      <c r="F145" s="2" t="s">
        <v>171</v>
      </c>
      <c r="G145" s="14">
        <v>11.55</v>
      </c>
      <c r="H145" s="64">
        <v>0</v>
      </c>
      <c r="I145" s="14">
        <f t="shared" si="126"/>
        <v>0</v>
      </c>
      <c r="K145" s="54"/>
      <c r="Z145" s="14">
        <f t="shared" si="127"/>
        <v>0</v>
      </c>
      <c r="AB145" s="14">
        <f t="shared" si="128"/>
        <v>0</v>
      </c>
      <c r="AC145" s="14">
        <f t="shared" si="129"/>
        <v>0</v>
      </c>
      <c r="AD145" s="14">
        <f t="shared" si="130"/>
        <v>0</v>
      </c>
      <c r="AE145" s="14">
        <f t="shared" si="131"/>
        <v>0</v>
      </c>
      <c r="AF145" s="14">
        <f t="shared" si="132"/>
        <v>0</v>
      </c>
      <c r="AG145" s="14">
        <f t="shared" si="133"/>
        <v>0</v>
      </c>
      <c r="AH145" s="14">
        <f t="shared" si="134"/>
        <v>0</v>
      </c>
      <c r="AI145" s="49" t="s">
        <v>50</v>
      </c>
      <c r="AJ145" s="14">
        <f t="shared" si="135"/>
        <v>0</v>
      </c>
      <c r="AK145" s="14">
        <f t="shared" si="136"/>
        <v>0</v>
      </c>
      <c r="AL145" s="14">
        <f t="shared" si="137"/>
        <v>0</v>
      </c>
      <c r="AN145" s="14">
        <v>21</v>
      </c>
      <c r="AO145" s="14">
        <f t="shared" si="138"/>
        <v>0</v>
      </c>
      <c r="AP145" s="14">
        <f t="shared" si="139"/>
        <v>0</v>
      </c>
      <c r="AQ145" s="65" t="s">
        <v>168</v>
      </c>
      <c r="AV145" s="14">
        <f t="shared" si="140"/>
        <v>0</v>
      </c>
      <c r="AW145" s="14">
        <f t="shared" si="141"/>
        <v>0</v>
      </c>
      <c r="AX145" s="14">
        <f t="shared" si="142"/>
        <v>0</v>
      </c>
      <c r="AY145" s="65" t="s">
        <v>436</v>
      </c>
      <c r="AZ145" s="65" t="s">
        <v>429</v>
      </c>
      <c r="BA145" s="49" t="s">
        <v>368</v>
      </c>
      <c r="BC145" s="14">
        <f t="shared" si="143"/>
        <v>0</v>
      </c>
      <c r="BD145" s="14">
        <f t="shared" si="144"/>
        <v>0</v>
      </c>
      <c r="BE145" s="14">
        <v>0</v>
      </c>
      <c r="BF145" s="14">
        <f>145</f>
        <v>145</v>
      </c>
      <c r="BH145" s="14">
        <f t="shared" si="145"/>
        <v>0</v>
      </c>
      <c r="BI145" s="14">
        <f t="shared" si="146"/>
        <v>0</v>
      </c>
      <c r="BJ145" s="14">
        <f t="shared" si="147"/>
        <v>0</v>
      </c>
      <c r="BK145" s="14"/>
      <c r="BL145" s="14">
        <v>59</v>
      </c>
      <c r="BW145" s="14">
        <v>21</v>
      </c>
      <c r="BX145" s="3" t="s">
        <v>442</v>
      </c>
    </row>
    <row r="146" spans="1:76" x14ac:dyDescent="0.25">
      <c r="A146" s="1" t="s">
        <v>443</v>
      </c>
      <c r="B146" s="2" t="s">
        <v>50</v>
      </c>
      <c r="C146" s="2" t="s">
        <v>444</v>
      </c>
      <c r="D146" s="81" t="s">
        <v>445</v>
      </c>
      <c r="E146" s="74"/>
      <c r="F146" s="2" t="s">
        <v>171</v>
      </c>
      <c r="G146" s="14">
        <v>5.25</v>
      </c>
      <c r="H146" s="64">
        <v>0</v>
      </c>
      <c r="I146" s="14">
        <f t="shared" si="126"/>
        <v>0</v>
      </c>
      <c r="K146" s="54"/>
      <c r="Z146" s="14">
        <f t="shared" si="127"/>
        <v>0</v>
      </c>
      <c r="AB146" s="14">
        <f t="shared" si="128"/>
        <v>0</v>
      </c>
      <c r="AC146" s="14">
        <f t="shared" si="129"/>
        <v>0</v>
      </c>
      <c r="AD146" s="14">
        <f t="shared" si="130"/>
        <v>0</v>
      </c>
      <c r="AE146" s="14">
        <f t="shared" si="131"/>
        <v>0</v>
      </c>
      <c r="AF146" s="14">
        <f t="shared" si="132"/>
        <v>0</v>
      </c>
      <c r="AG146" s="14">
        <f t="shared" si="133"/>
        <v>0</v>
      </c>
      <c r="AH146" s="14">
        <f t="shared" si="134"/>
        <v>0</v>
      </c>
      <c r="AI146" s="49" t="s">
        <v>50</v>
      </c>
      <c r="AJ146" s="14">
        <f t="shared" si="135"/>
        <v>0</v>
      </c>
      <c r="AK146" s="14">
        <f t="shared" si="136"/>
        <v>0</v>
      </c>
      <c r="AL146" s="14">
        <f t="shared" si="137"/>
        <v>0</v>
      </c>
      <c r="AN146" s="14">
        <v>21</v>
      </c>
      <c r="AO146" s="14">
        <f t="shared" si="138"/>
        <v>0</v>
      </c>
      <c r="AP146" s="14">
        <f t="shared" si="139"/>
        <v>0</v>
      </c>
      <c r="AQ146" s="65" t="s">
        <v>168</v>
      </c>
      <c r="AV146" s="14">
        <f t="shared" si="140"/>
        <v>0</v>
      </c>
      <c r="AW146" s="14">
        <f t="shared" si="141"/>
        <v>0</v>
      </c>
      <c r="AX146" s="14">
        <f t="shared" si="142"/>
        <v>0</v>
      </c>
      <c r="AY146" s="65" t="s">
        <v>436</v>
      </c>
      <c r="AZ146" s="65" t="s">
        <v>429</v>
      </c>
      <c r="BA146" s="49" t="s">
        <v>368</v>
      </c>
      <c r="BC146" s="14">
        <f t="shared" si="143"/>
        <v>0</v>
      </c>
      <c r="BD146" s="14">
        <f t="shared" si="144"/>
        <v>0</v>
      </c>
      <c r="BE146" s="14">
        <v>0</v>
      </c>
      <c r="BF146" s="14">
        <f>146</f>
        <v>146</v>
      </c>
      <c r="BH146" s="14">
        <f t="shared" si="145"/>
        <v>0</v>
      </c>
      <c r="BI146" s="14">
        <f t="shared" si="146"/>
        <v>0</v>
      </c>
      <c r="BJ146" s="14">
        <f t="shared" si="147"/>
        <v>0</v>
      </c>
      <c r="BK146" s="14"/>
      <c r="BL146" s="14">
        <v>59</v>
      </c>
      <c r="BW146" s="14">
        <v>21</v>
      </c>
      <c r="BX146" s="3" t="s">
        <v>445</v>
      </c>
    </row>
    <row r="147" spans="1:76" x14ac:dyDescent="0.25">
      <c r="A147" s="1" t="s">
        <v>446</v>
      </c>
      <c r="B147" s="2" t="s">
        <v>50</v>
      </c>
      <c r="C147" s="2" t="s">
        <v>447</v>
      </c>
      <c r="D147" s="81" t="s">
        <v>448</v>
      </c>
      <c r="E147" s="74"/>
      <c r="F147" s="2" t="s">
        <v>171</v>
      </c>
      <c r="G147" s="14">
        <v>5.25</v>
      </c>
      <c r="H147" s="64">
        <v>0</v>
      </c>
      <c r="I147" s="14">
        <f t="shared" si="126"/>
        <v>0</v>
      </c>
      <c r="K147" s="54"/>
      <c r="Z147" s="14">
        <f t="shared" si="127"/>
        <v>0</v>
      </c>
      <c r="AB147" s="14">
        <f t="shared" si="128"/>
        <v>0</v>
      </c>
      <c r="AC147" s="14">
        <f t="shared" si="129"/>
        <v>0</v>
      </c>
      <c r="AD147" s="14">
        <f t="shared" si="130"/>
        <v>0</v>
      </c>
      <c r="AE147" s="14">
        <f t="shared" si="131"/>
        <v>0</v>
      </c>
      <c r="AF147" s="14">
        <f t="shared" si="132"/>
        <v>0</v>
      </c>
      <c r="AG147" s="14">
        <f t="shared" si="133"/>
        <v>0</v>
      </c>
      <c r="AH147" s="14">
        <f t="shared" si="134"/>
        <v>0</v>
      </c>
      <c r="AI147" s="49" t="s">
        <v>50</v>
      </c>
      <c r="AJ147" s="14">
        <f t="shared" si="135"/>
        <v>0</v>
      </c>
      <c r="AK147" s="14">
        <f t="shared" si="136"/>
        <v>0</v>
      </c>
      <c r="AL147" s="14">
        <f t="shared" si="137"/>
        <v>0</v>
      </c>
      <c r="AN147" s="14">
        <v>21</v>
      </c>
      <c r="AO147" s="14">
        <f t="shared" si="138"/>
        <v>0</v>
      </c>
      <c r="AP147" s="14">
        <f t="shared" si="139"/>
        <v>0</v>
      </c>
      <c r="AQ147" s="65" t="s">
        <v>168</v>
      </c>
      <c r="AV147" s="14">
        <f t="shared" si="140"/>
        <v>0</v>
      </c>
      <c r="AW147" s="14">
        <f t="shared" si="141"/>
        <v>0</v>
      </c>
      <c r="AX147" s="14">
        <f t="shared" si="142"/>
        <v>0</v>
      </c>
      <c r="AY147" s="65" t="s">
        <v>436</v>
      </c>
      <c r="AZ147" s="65" t="s">
        <v>429</v>
      </c>
      <c r="BA147" s="49" t="s">
        <v>368</v>
      </c>
      <c r="BC147" s="14">
        <f t="shared" si="143"/>
        <v>0</v>
      </c>
      <c r="BD147" s="14">
        <f t="shared" si="144"/>
        <v>0</v>
      </c>
      <c r="BE147" s="14">
        <v>0</v>
      </c>
      <c r="BF147" s="14">
        <f>147</f>
        <v>147</v>
      </c>
      <c r="BH147" s="14">
        <f t="shared" si="145"/>
        <v>0</v>
      </c>
      <c r="BI147" s="14">
        <f t="shared" si="146"/>
        <v>0</v>
      </c>
      <c r="BJ147" s="14">
        <f t="shared" si="147"/>
        <v>0</v>
      </c>
      <c r="BK147" s="14"/>
      <c r="BL147" s="14">
        <v>59</v>
      </c>
      <c r="BW147" s="14">
        <v>21</v>
      </c>
      <c r="BX147" s="3" t="s">
        <v>448</v>
      </c>
    </row>
    <row r="148" spans="1:76" ht="25.5" x14ac:dyDescent="0.25">
      <c r="A148" s="1" t="s">
        <v>449</v>
      </c>
      <c r="B148" s="2" t="s">
        <v>50</v>
      </c>
      <c r="C148" s="2" t="s">
        <v>450</v>
      </c>
      <c r="D148" s="81" t="s">
        <v>435</v>
      </c>
      <c r="E148" s="74"/>
      <c r="F148" s="2" t="s">
        <v>171</v>
      </c>
      <c r="G148" s="14">
        <v>34</v>
      </c>
      <c r="H148" s="64">
        <v>0</v>
      </c>
      <c r="I148" s="14">
        <f t="shared" si="126"/>
        <v>0</v>
      </c>
      <c r="K148" s="54"/>
      <c r="Z148" s="14">
        <f t="shared" si="127"/>
        <v>0</v>
      </c>
      <c r="AB148" s="14">
        <f t="shared" si="128"/>
        <v>0</v>
      </c>
      <c r="AC148" s="14">
        <f t="shared" si="129"/>
        <v>0</v>
      </c>
      <c r="AD148" s="14">
        <f t="shared" si="130"/>
        <v>0</v>
      </c>
      <c r="AE148" s="14">
        <f t="shared" si="131"/>
        <v>0</v>
      </c>
      <c r="AF148" s="14">
        <f t="shared" si="132"/>
        <v>0</v>
      </c>
      <c r="AG148" s="14">
        <f t="shared" si="133"/>
        <v>0</v>
      </c>
      <c r="AH148" s="14">
        <f t="shared" si="134"/>
        <v>0</v>
      </c>
      <c r="AI148" s="49" t="s">
        <v>50</v>
      </c>
      <c r="AJ148" s="14">
        <f t="shared" si="135"/>
        <v>0</v>
      </c>
      <c r="AK148" s="14">
        <f t="shared" si="136"/>
        <v>0</v>
      </c>
      <c r="AL148" s="14">
        <f t="shared" si="137"/>
        <v>0</v>
      </c>
      <c r="AN148" s="14">
        <v>21</v>
      </c>
      <c r="AO148" s="14">
        <f t="shared" si="138"/>
        <v>0</v>
      </c>
      <c r="AP148" s="14">
        <f t="shared" si="139"/>
        <v>0</v>
      </c>
      <c r="AQ148" s="65" t="s">
        <v>168</v>
      </c>
      <c r="AV148" s="14">
        <f t="shared" si="140"/>
        <v>0</v>
      </c>
      <c r="AW148" s="14">
        <f t="shared" si="141"/>
        <v>0</v>
      </c>
      <c r="AX148" s="14">
        <f t="shared" si="142"/>
        <v>0</v>
      </c>
      <c r="AY148" s="65" t="s">
        <v>436</v>
      </c>
      <c r="AZ148" s="65" t="s">
        <v>429</v>
      </c>
      <c r="BA148" s="49" t="s">
        <v>368</v>
      </c>
      <c r="BC148" s="14">
        <f t="shared" si="143"/>
        <v>0</v>
      </c>
      <c r="BD148" s="14">
        <f t="shared" si="144"/>
        <v>0</v>
      </c>
      <c r="BE148" s="14">
        <v>0</v>
      </c>
      <c r="BF148" s="14">
        <f>148</f>
        <v>148</v>
      </c>
      <c r="BH148" s="14">
        <f t="shared" si="145"/>
        <v>0</v>
      </c>
      <c r="BI148" s="14">
        <f t="shared" si="146"/>
        <v>0</v>
      </c>
      <c r="BJ148" s="14">
        <f t="shared" si="147"/>
        <v>0</v>
      </c>
      <c r="BK148" s="14"/>
      <c r="BL148" s="14">
        <v>59</v>
      </c>
      <c r="BW148" s="14">
        <v>21</v>
      </c>
      <c r="BX148" s="3" t="s">
        <v>435</v>
      </c>
    </row>
    <row r="149" spans="1:76" x14ac:dyDescent="0.25">
      <c r="A149" s="60" t="s">
        <v>20</v>
      </c>
      <c r="B149" s="61" t="s">
        <v>50</v>
      </c>
      <c r="C149" s="61" t="s">
        <v>38</v>
      </c>
      <c r="D149" s="162" t="s">
        <v>39</v>
      </c>
      <c r="E149" s="163"/>
      <c r="F149" s="62" t="s">
        <v>13</v>
      </c>
      <c r="G149" s="62" t="s">
        <v>13</v>
      </c>
      <c r="H149" s="63" t="s">
        <v>13</v>
      </c>
      <c r="I149" s="43">
        <f>SUM(I150:I152)</f>
        <v>0</v>
      </c>
      <c r="K149" s="54"/>
      <c r="AI149" s="49" t="s">
        <v>50</v>
      </c>
      <c r="AS149" s="43">
        <f>SUM(AJ150:AJ152)</f>
        <v>0</v>
      </c>
      <c r="AT149" s="43">
        <f>SUM(AK150:AK152)</f>
        <v>0</v>
      </c>
      <c r="AU149" s="43">
        <f>SUM(AL150:AL152)</f>
        <v>0</v>
      </c>
    </row>
    <row r="150" spans="1:76" ht="25.5" x14ac:dyDescent="0.25">
      <c r="A150" s="1" t="s">
        <v>451</v>
      </c>
      <c r="B150" s="2" t="s">
        <v>50</v>
      </c>
      <c r="C150" s="2" t="s">
        <v>452</v>
      </c>
      <c r="D150" s="81" t="s">
        <v>453</v>
      </c>
      <c r="E150" s="74"/>
      <c r="F150" s="2" t="s">
        <v>264</v>
      </c>
      <c r="G150" s="14">
        <v>19</v>
      </c>
      <c r="H150" s="64">
        <v>0</v>
      </c>
      <c r="I150" s="14">
        <f>G150*H150</f>
        <v>0</v>
      </c>
      <c r="K150" s="54"/>
      <c r="Z150" s="14">
        <f>IF(AQ150="5",BJ150,0)</f>
        <v>0</v>
      </c>
      <c r="AB150" s="14">
        <f>IF(AQ150="1",BH150,0)</f>
        <v>0</v>
      </c>
      <c r="AC150" s="14">
        <f>IF(AQ150="1",BI150,0)</f>
        <v>0</v>
      </c>
      <c r="AD150" s="14">
        <f>IF(AQ150="7",BH150,0)</f>
        <v>0</v>
      </c>
      <c r="AE150" s="14">
        <f>IF(AQ150="7",BI150,0)</f>
        <v>0</v>
      </c>
      <c r="AF150" s="14">
        <f>IF(AQ150="2",BH150,0)</f>
        <v>0</v>
      </c>
      <c r="AG150" s="14">
        <f>IF(AQ150="2",BI150,0)</f>
        <v>0</v>
      </c>
      <c r="AH150" s="14">
        <f>IF(AQ150="0",BJ150,0)</f>
        <v>0</v>
      </c>
      <c r="AI150" s="49" t="s">
        <v>50</v>
      </c>
      <c r="AJ150" s="14">
        <f>IF(AN150=0,I150,0)</f>
        <v>0</v>
      </c>
      <c r="AK150" s="14">
        <f>IF(AN150=12,I150,0)</f>
        <v>0</v>
      </c>
      <c r="AL150" s="14">
        <f>IF(AN150=21,I150,0)</f>
        <v>0</v>
      </c>
      <c r="AN150" s="14">
        <v>21</v>
      </c>
      <c r="AO150" s="14">
        <f>H150*0</f>
        <v>0</v>
      </c>
      <c r="AP150" s="14">
        <f>H150*(1-0)</f>
        <v>0</v>
      </c>
      <c r="AQ150" s="65" t="s">
        <v>168</v>
      </c>
      <c r="AV150" s="14">
        <f>AW150+AX150</f>
        <v>0</v>
      </c>
      <c r="AW150" s="14">
        <f>G150*AO150</f>
        <v>0</v>
      </c>
      <c r="AX150" s="14">
        <f>G150*AP150</f>
        <v>0</v>
      </c>
      <c r="AY150" s="65" t="s">
        <v>265</v>
      </c>
      <c r="AZ150" s="65" t="s">
        <v>454</v>
      </c>
      <c r="BA150" s="49" t="s">
        <v>368</v>
      </c>
      <c r="BC150" s="14">
        <f>AW150+AX150</f>
        <v>0</v>
      </c>
      <c r="BD150" s="14">
        <f>H150/(100-BE150)*100</f>
        <v>0</v>
      </c>
      <c r="BE150" s="14">
        <v>0</v>
      </c>
      <c r="BF150" s="14">
        <f>150</f>
        <v>150</v>
      </c>
      <c r="BH150" s="14">
        <f>G150*AO150</f>
        <v>0</v>
      </c>
      <c r="BI150" s="14">
        <f>G150*AP150</f>
        <v>0</v>
      </c>
      <c r="BJ150" s="14">
        <f>G150*H150</f>
        <v>0</v>
      </c>
      <c r="BK150" s="14"/>
      <c r="BL150" s="14">
        <v>91</v>
      </c>
      <c r="BW150" s="14">
        <v>21</v>
      </c>
      <c r="BX150" s="3" t="s">
        <v>453</v>
      </c>
    </row>
    <row r="151" spans="1:76" x14ac:dyDescent="0.25">
      <c r="A151" s="1" t="s">
        <v>455</v>
      </c>
      <c r="B151" s="2" t="s">
        <v>50</v>
      </c>
      <c r="C151" s="2" t="s">
        <v>456</v>
      </c>
      <c r="D151" s="81" t="s">
        <v>457</v>
      </c>
      <c r="E151" s="74"/>
      <c r="F151" s="2" t="s">
        <v>264</v>
      </c>
      <c r="G151" s="14">
        <v>19.38</v>
      </c>
      <c r="H151" s="64">
        <v>0</v>
      </c>
      <c r="I151" s="14">
        <f>G151*H151</f>
        <v>0</v>
      </c>
      <c r="K151" s="54"/>
      <c r="Z151" s="14">
        <f>IF(AQ151="5",BJ151,0)</f>
        <v>0</v>
      </c>
      <c r="AB151" s="14">
        <f>IF(AQ151="1",BH151,0)</f>
        <v>0</v>
      </c>
      <c r="AC151" s="14">
        <f>IF(AQ151="1",BI151,0)</f>
        <v>0</v>
      </c>
      <c r="AD151" s="14">
        <f>IF(AQ151="7",BH151,0)</f>
        <v>0</v>
      </c>
      <c r="AE151" s="14">
        <f>IF(AQ151="7",BI151,0)</f>
        <v>0</v>
      </c>
      <c r="AF151" s="14">
        <f>IF(AQ151="2",BH151,0)</f>
        <v>0</v>
      </c>
      <c r="AG151" s="14">
        <f>IF(AQ151="2",BI151,0)</f>
        <v>0</v>
      </c>
      <c r="AH151" s="14">
        <f>IF(AQ151="0",BJ151,0)</f>
        <v>0</v>
      </c>
      <c r="AI151" s="49" t="s">
        <v>50</v>
      </c>
      <c r="AJ151" s="14">
        <f>IF(AN151=0,I151,0)</f>
        <v>0</v>
      </c>
      <c r="AK151" s="14">
        <f>IF(AN151=12,I151,0)</f>
        <v>0</v>
      </c>
      <c r="AL151" s="14">
        <f>IF(AN151=21,I151,0)</f>
        <v>0</v>
      </c>
      <c r="AN151" s="14">
        <v>21</v>
      </c>
      <c r="AO151" s="14">
        <f>H151*1</f>
        <v>0</v>
      </c>
      <c r="AP151" s="14">
        <f>H151*(1-1)</f>
        <v>0</v>
      </c>
      <c r="AQ151" s="65" t="s">
        <v>168</v>
      </c>
      <c r="AV151" s="14">
        <f>AW151+AX151</f>
        <v>0</v>
      </c>
      <c r="AW151" s="14">
        <f>G151*AO151</f>
        <v>0</v>
      </c>
      <c r="AX151" s="14">
        <f>G151*AP151</f>
        <v>0</v>
      </c>
      <c r="AY151" s="65" t="s">
        <v>265</v>
      </c>
      <c r="AZ151" s="65" t="s">
        <v>454</v>
      </c>
      <c r="BA151" s="49" t="s">
        <v>368</v>
      </c>
      <c r="BC151" s="14">
        <f>AW151+AX151</f>
        <v>0</v>
      </c>
      <c r="BD151" s="14">
        <f>H151/(100-BE151)*100</f>
        <v>0</v>
      </c>
      <c r="BE151" s="14">
        <v>0</v>
      </c>
      <c r="BF151" s="14">
        <f>151</f>
        <v>151</v>
      </c>
      <c r="BH151" s="14">
        <f>G151*AO151</f>
        <v>0</v>
      </c>
      <c r="BI151" s="14">
        <f>G151*AP151</f>
        <v>0</v>
      </c>
      <c r="BJ151" s="14">
        <f>G151*H151</f>
        <v>0</v>
      </c>
      <c r="BK151" s="14"/>
      <c r="BL151" s="14">
        <v>91</v>
      </c>
      <c r="BW151" s="14">
        <v>21</v>
      </c>
      <c r="BX151" s="3" t="s">
        <v>457</v>
      </c>
    </row>
    <row r="152" spans="1:76" ht="25.5" x14ac:dyDescent="0.25">
      <c r="A152" s="1" t="s">
        <v>458</v>
      </c>
      <c r="B152" s="2" t="s">
        <v>50</v>
      </c>
      <c r="C152" s="2" t="s">
        <v>277</v>
      </c>
      <c r="D152" s="81" t="s">
        <v>278</v>
      </c>
      <c r="E152" s="74"/>
      <c r="F152" s="2" t="s">
        <v>264</v>
      </c>
      <c r="G152" s="14">
        <v>19</v>
      </c>
      <c r="H152" s="64">
        <v>0</v>
      </c>
      <c r="I152" s="14">
        <f>G152*H152</f>
        <v>0</v>
      </c>
      <c r="K152" s="54"/>
      <c r="Z152" s="14">
        <f>IF(AQ152="5",BJ152,0)</f>
        <v>0</v>
      </c>
      <c r="AB152" s="14">
        <f>IF(AQ152="1",BH152,0)</f>
        <v>0</v>
      </c>
      <c r="AC152" s="14">
        <f>IF(AQ152="1",BI152,0)</f>
        <v>0</v>
      </c>
      <c r="AD152" s="14">
        <f>IF(AQ152="7",BH152,0)</f>
        <v>0</v>
      </c>
      <c r="AE152" s="14">
        <f>IF(AQ152="7",BI152,0)</f>
        <v>0</v>
      </c>
      <c r="AF152" s="14">
        <f>IF(AQ152="2",BH152,0)</f>
        <v>0</v>
      </c>
      <c r="AG152" s="14">
        <f>IF(AQ152="2",BI152,0)</f>
        <v>0</v>
      </c>
      <c r="AH152" s="14">
        <f>IF(AQ152="0",BJ152,0)</f>
        <v>0</v>
      </c>
      <c r="AI152" s="49" t="s">
        <v>50</v>
      </c>
      <c r="AJ152" s="14">
        <f>IF(AN152=0,I152,0)</f>
        <v>0</v>
      </c>
      <c r="AK152" s="14">
        <f>IF(AN152=12,I152,0)</f>
        <v>0</v>
      </c>
      <c r="AL152" s="14">
        <f>IF(AN152=21,I152,0)</f>
        <v>0</v>
      </c>
      <c r="AN152" s="14">
        <v>21</v>
      </c>
      <c r="AO152" s="14">
        <f>H152*0</f>
        <v>0</v>
      </c>
      <c r="AP152" s="14">
        <f>H152*(1-0)</f>
        <v>0</v>
      </c>
      <c r="AQ152" s="65" t="s">
        <v>168</v>
      </c>
      <c r="AV152" s="14">
        <f>AW152+AX152</f>
        <v>0</v>
      </c>
      <c r="AW152" s="14">
        <f>G152*AO152</f>
        <v>0</v>
      </c>
      <c r="AX152" s="14">
        <f>G152*AP152</f>
        <v>0</v>
      </c>
      <c r="AY152" s="65" t="s">
        <v>265</v>
      </c>
      <c r="AZ152" s="65" t="s">
        <v>454</v>
      </c>
      <c r="BA152" s="49" t="s">
        <v>368</v>
      </c>
      <c r="BC152" s="14">
        <f>AW152+AX152</f>
        <v>0</v>
      </c>
      <c r="BD152" s="14">
        <f>H152/(100-BE152)*100</f>
        <v>0</v>
      </c>
      <c r="BE152" s="14">
        <v>0</v>
      </c>
      <c r="BF152" s="14">
        <f>152</f>
        <v>152</v>
      </c>
      <c r="BH152" s="14">
        <f>G152*AO152</f>
        <v>0</v>
      </c>
      <c r="BI152" s="14">
        <f>G152*AP152</f>
        <v>0</v>
      </c>
      <c r="BJ152" s="14">
        <f>G152*H152</f>
        <v>0</v>
      </c>
      <c r="BK152" s="14"/>
      <c r="BL152" s="14">
        <v>91</v>
      </c>
      <c r="BW152" s="14">
        <v>21</v>
      </c>
      <c r="BX152" s="3" t="s">
        <v>278</v>
      </c>
    </row>
    <row r="153" spans="1:76" x14ac:dyDescent="0.25">
      <c r="A153" s="60" t="s">
        <v>20</v>
      </c>
      <c r="B153" s="61" t="s">
        <v>50</v>
      </c>
      <c r="C153" s="61" t="s">
        <v>48</v>
      </c>
      <c r="D153" s="162" t="s">
        <v>49</v>
      </c>
      <c r="E153" s="163"/>
      <c r="F153" s="62" t="s">
        <v>13</v>
      </c>
      <c r="G153" s="62" t="s">
        <v>13</v>
      </c>
      <c r="H153" s="63" t="s">
        <v>13</v>
      </c>
      <c r="I153" s="43">
        <f>SUM(I154:I154)</f>
        <v>0</v>
      </c>
      <c r="K153" s="54"/>
      <c r="AI153" s="49" t="s">
        <v>50</v>
      </c>
      <c r="AS153" s="43">
        <f>SUM(AJ154:AJ154)</f>
        <v>0</v>
      </c>
      <c r="AT153" s="43">
        <f>SUM(AK154:AK154)</f>
        <v>0</v>
      </c>
      <c r="AU153" s="43">
        <f>SUM(AL154:AL154)</f>
        <v>0</v>
      </c>
    </row>
    <row r="154" spans="1:76" ht="25.5" x14ac:dyDescent="0.25">
      <c r="A154" s="1" t="s">
        <v>459</v>
      </c>
      <c r="B154" s="2" t="s">
        <v>50</v>
      </c>
      <c r="C154" s="2" t="s">
        <v>460</v>
      </c>
      <c r="D154" s="81" t="s">
        <v>461</v>
      </c>
      <c r="E154" s="74"/>
      <c r="F154" s="2" t="s">
        <v>264</v>
      </c>
      <c r="G154" s="14">
        <v>11</v>
      </c>
      <c r="H154" s="64">
        <v>0</v>
      </c>
      <c r="I154" s="14">
        <f>G154*H154</f>
        <v>0</v>
      </c>
      <c r="K154" s="54"/>
      <c r="Z154" s="14">
        <f>IF(AQ154="5",BJ154,0)</f>
        <v>0</v>
      </c>
      <c r="AB154" s="14">
        <f>IF(AQ154="1",BH154,0)</f>
        <v>0</v>
      </c>
      <c r="AC154" s="14">
        <f>IF(AQ154="1",BI154,0)</f>
        <v>0</v>
      </c>
      <c r="AD154" s="14">
        <f>IF(AQ154="7",BH154,0)</f>
        <v>0</v>
      </c>
      <c r="AE154" s="14">
        <f>IF(AQ154="7",BI154,0)</f>
        <v>0</v>
      </c>
      <c r="AF154" s="14">
        <f>IF(AQ154="2",BH154,0)</f>
        <v>0</v>
      </c>
      <c r="AG154" s="14">
        <f>IF(AQ154="2",BI154,0)</f>
        <v>0</v>
      </c>
      <c r="AH154" s="14">
        <f>IF(AQ154="0",BJ154,0)</f>
        <v>0</v>
      </c>
      <c r="AI154" s="49" t="s">
        <v>50</v>
      </c>
      <c r="AJ154" s="14">
        <f>IF(AN154=0,I154,0)</f>
        <v>0</v>
      </c>
      <c r="AK154" s="14">
        <f>IF(AN154=12,I154,0)</f>
        <v>0</v>
      </c>
      <c r="AL154" s="14">
        <f>IF(AN154=21,I154,0)</f>
        <v>0</v>
      </c>
      <c r="AN154" s="14">
        <v>21</v>
      </c>
      <c r="AO154" s="14">
        <f>H154*0</f>
        <v>0</v>
      </c>
      <c r="AP154" s="14">
        <f>H154*(1-0)</f>
        <v>0</v>
      </c>
      <c r="AQ154" s="65" t="s">
        <v>168</v>
      </c>
      <c r="AV154" s="14">
        <f>AW154+AX154</f>
        <v>0</v>
      </c>
      <c r="AW154" s="14">
        <f>G154*AO154</f>
        <v>0</v>
      </c>
      <c r="AX154" s="14">
        <f>G154*AP154</f>
        <v>0</v>
      </c>
      <c r="AY154" s="65" t="s">
        <v>359</v>
      </c>
      <c r="AZ154" s="65" t="s">
        <v>454</v>
      </c>
      <c r="BA154" s="49" t="s">
        <v>368</v>
      </c>
      <c r="BC154" s="14">
        <f>AW154+AX154</f>
        <v>0</v>
      </c>
      <c r="BD154" s="14">
        <f>H154/(100-BE154)*100</f>
        <v>0</v>
      </c>
      <c r="BE154" s="14">
        <v>0</v>
      </c>
      <c r="BF154" s="14">
        <f>154</f>
        <v>154</v>
      </c>
      <c r="BH154" s="14">
        <f>G154*AO154</f>
        <v>0</v>
      </c>
      <c r="BI154" s="14">
        <f>G154*AP154</f>
        <v>0</v>
      </c>
      <c r="BJ154" s="14">
        <f>G154*H154</f>
        <v>0</v>
      </c>
      <c r="BK154" s="14"/>
      <c r="BL154" s="14">
        <v>96</v>
      </c>
      <c r="BW154" s="14">
        <v>21</v>
      </c>
      <c r="BX154" s="3" t="s">
        <v>461</v>
      </c>
    </row>
    <row r="155" spans="1:76" x14ac:dyDescent="0.25">
      <c r="A155" s="60" t="s">
        <v>20</v>
      </c>
      <c r="B155" s="61" t="s">
        <v>50</v>
      </c>
      <c r="C155" s="61" t="s">
        <v>40</v>
      </c>
      <c r="D155" s="162" t="s">
        <v>41</v>
      </c>
      <c r="E155" s="163"/>
      <c r="F155" s="62" t="s">
        <v>13</v>
      </c>
      <c r="G155" s="62" t="s">
        <v>13</v>
      </c>
      <c r="H155" s="63" t="s">
        <v>13</v>
      </c>
      <c r="I155" s="43">
        <f>SUM(I156:I156)</f>
        <v>0</v>
      </c>
      <c r="K155" s="54"/>
      <c r="AI155" s="49" t="s">
        <v>50</v>
      </c>
      <c r="AS155" s="43">
        <f>SUM(AJ156:AJ156)</f>
        <v>0</v>
      </c>
      <c r="AT155" s="43">
        <f>SUM(AK156:AK156)</f>
        <v>0</v>
      </c>
      <c r="AU155" s="43">
        <f>SUM(AL156:AL156)</f>
        <v>0</v>
      </c>
    </row>
    <row r="156" spans="1:76" ht="25.5" x14ac:dyDescent="0.25">
      <c r="A156" s="1" t="s">
        <v>462</v>
      </c>
      <c r="B156" s="2" t="s">
        <v>50</v>
      </c>
      <c r="C156" s="2" t="s">
        <v>463</v>
      </c>
      <c r="D156" s="81" t="s">
        <v>464</v>
      </c>
      <c r="E156" s="74"/>
      <c r="F156" s="2" t="s">
        <v>217</v>
      </c>
      <c r="G156" s="14">
        <v>13.525</v>
      </c>
      <c r="H156" s="64">
        <v>0</v>
      </c>
      <c r="I156" s="14">
        <f>G156*H156</f>
        <v>0</v>
      </c>
      <c r="K156" s="54"/>
      <c r="Z156" s="14">
        <f>IF(AQ156="5",BJ156,0)</f>
        <v>0</v>
      </c>
      <c r="AB156" s="14">
        <f>IF(AQ156="1",BH156,0)</f>
        <v>0</v>
      </c>
      <c r="AC156" s="14">
        <f>IF(AQ156="1",BI156,0)</f>
        <v>0</v>
      </c>
      <c r="AD156" s="14">
        <f>IF(AQ156="7",BH156,0)</f>
        <v>0</v>
      </c>
      <c r="AE156" s="14">
        <f>IF(AQ156="7",BI156,0)</f>
        <v>0</v>
      </c>
      <c r="AF156" s="14">
        <f>IF(AQ156="2",BH156,0)</f>
        <v>0</v>
      </c>
      <c r="AG156" s="14">
        <f>IF(AQ156="2",BI156,0)</f>
        <v>0</v>
      </c>
      <c r="AH156" s="14">
        <f>IF(AQ156="0",BJ156,0)</f>
        <v>0</v>
      </c>
      <c r="AI156" s="49" t="s">
        <v>50</v>
      </c>
      <c r="AJ156" s="14">
        <f>IF(AN156=0,I156,0)</f>
        <v>0</v>
      </c>
      <c r="AK156" s="14">
        <f>IF(AN156=12,I156,0)</f>
        <v>0</v>
      </c>
      <c r="AL156" s="14">
        <f>IF(AN156=21,I156,0)</f>
        <v>0</v>
      </c>
      <c r="AN156" s="14">
        <v>21</v>
      </c>
      <c r="AO156" s="14">
        <f>H156*0</f>
        <v>0</v>
      </c>
      <c r="AP156" s="14">
        <f>H156*(1-0)</f>
        <v>0</v>
      </c>
      <c r="AQ156" s="65" t="s">
        <v>168</v>
      </c>
      <c r="AV156" s="14">
        <f>AW156+AX156</f>
        <v>0</v>
      </c>
      <c r="AW156" s="14">
        <f>G156*AO156</f>
        <v>0</v>
      </c>
      <c r="AX156" s="14">
        <f>G156*AP156</f>
        <v>0</v>
      </c>
      <c r="AY156" s="65" t="s">
        <v>291</v>
      </c>
      <c r="AZ156" s="65" t="s">
        <v>454</v>
      </c>
      <c r="BA156" s="49" t="s">
        <v>368</v>
      </c>
      <c r="BC156" s="14">
        <f>AW156+AX156</f>
        <v>0</v>
      </c>
      <c r="BD156" s="14">
        <f>H156/(100-BE156)*100</f>
        <v>0</v>
      </c>
      <c r="BE156" s="14">
        <v>0</v>
      </c>
      <c r="BF156" s="14">
        <f>156</f>
        <v>156</v>
      </c>
      <c r="BH156" s="14">
        <f>G156*AO156</f>
        <v>0</v>
      </c>
      <c r="BI156" s="14">
        <f>G156*AP156</f>
        <v>0</v>
      </c>
      <c r="BJ156" s="14">
        <f>G156*H156</f>
        <v>0</v>
      </c>
      <c r="BK156" s="14"/>
      <c r="BL156" s="14">
        <v>99</v>
      </c>
      <c r="BW156" s="14">
        <v>21</v>
      </c>
      <c r="BX156" s="3" t="s">
        <v>464</v>
      </c>
    </row>
    <row r="157" spans="1:76" x14ac:dyDescent="0.25">
      <c r="A157" s="60" t="s">
        <v>20</v>
      </c>
      <c r="B157" s="61" t="s">
        <v>50</v>
      </c>
      <c r="C157" s="61" t="s">
        <v>42</v>
      </c>
      <c r="D157" s="162" t="s">
        <v>43</v>
      </c>
      <c r="E157" s="163"/>
      <c r="F157" s="62" t="s">
        <v>13</v>
      </c>
      <c r="G157" s="62" t="s">
        <v>13</v>
      </c>
      <c r="H157" s="63" t="s">
        <v>13</v>
      </c>
      <c r="I157" s="43">
        <f>SUM(I158:I162)</f>
        <v>0</v>
      </c>
      <c r="K157" s="54"/>
      <c r="AI157" s="49" t="s">
        <v>50</v>
      </c>
      <c r="AS157" s="43">
        <f>SUM(AJ158:AJ162)</f>
        <v>0</v>
      </c>
      <c r="AT157" s="43">
        <f>SUM(AK158:AK162)</f>
        <v>0</v>
      </c>
      <c r="AU157" s="43">
        <f>SUM(AL158:AL162)</f>
        <v>0</v>
      </c>
    </row>
    <row r="158" spans="1:76" ht="25.5" x14ac:dyDescent="0.25">
      <c r="A158" s="1" t="s">
        <v>465</v>
      </c>
      <c r="B158" s="2" t="s">
        <v>50</v>
      </c>
      <c r="C158" s="2" t="s">
        <v>293</v>
      </c>
      <c r="D158" s="81" t="s">
        <v>294</v>
      </c>
      <c r="E158" s="74"/>
      <c r="F158" s="2" t="s">
        <v>217</v>
      </c>
      <c r="G158" s="14">
        <v>5.0049999999999999</v>
      </c>
      <c r="H158" s="64">
        <v>0</v>
      </c>
      <c r="I158" s="14">
        <f>G158*H158</f>
        <v>0</v>
      </c>
      <c r="K158" s="54"/>
      <c r="Z158" s="14">
        <f>IF(AQ158="5",BJ158,0)</f>
        <v>0</v>
      </c>
      <c r="AB158" s="14">
        <f>IF(AQ158="1",BH158,0)</f>
        <v>0</v>
      </c>
      <c r="AC158" s="14">
        <f>IF(AQ158="1",BI158,0)</f>
        <v>0</v>
      </c>
      <c r="AD158" s="14">
        <f>IF(AQ158="7",BH158,0)</f>
        <v>0</v>
      </c>
      <c r="AE158" s="14">
        <f>IF(AQ158="7",BI158,0)</f>
        <v>0</v>
      </c>
      <c r="AF158" s="14">
        <f>IF(AQ158="2",BH158,0)</f>
        <v>0</v>
      </c>
      <c r="AG158" s="14">
        <f>IF(AQ158="2",BI158,0)</f>
        <v>0</v>
      </c>
      <c r="AH158" s="14">
        <f>IF(AQ158="0",BJ158,0)</f>
        <v>0</v>
      </c>
      <c r="AI158" s="49" t="s">
        <v>50</v>
      </c>
      <c r="AJ158" s="14">
        <f>IF(AN158=0,I158,0)</f>
        <v>0</v>
      </c>
      <c r="AK158" s="14">
        <f>IF(AN158=12,I158,0)</f>
        <v>0</v>
      </c>
      <c r="AL158" s="14">
        <f>IF(AN158=21,I158,0)</f>
        <v>0</v>
      </c>
      <c r="AN158" s="14">
        <v>21</v>
      </c>
      <c r="AO158" s="14">
        <f>H158*0</f>
        <v>0</v>
      </c>
      <c r="AP158" s="14">
        <f>H158*(1-0)</f>
        <v>0</v>
      </c>
      <c r="AQ158" s="65" t="s">
        <v>168</v>
      </c>
      <c r="AV158" s="14">
        <f>AW158+AX158</f>
        <v>0</v>
      </c>
      <c r="AW158" s="14">
        <f>G158*AO158</f>
        <v>0</v>
      </c>
      <c r="AX158" s="14">
        <f>G158*AP158</f>
        <v>0</v>
      </c>
      <c r="AY158" s="65" t="s">
        <v>295</v>
      </c>
      <c r="AZ158" s="65" t="s">
        <v>454</v>
      </c>
      <c r="BA158" s="49" t="s">
        <v>368</v>
      </c>
      <c r="BC158" s="14">
        <f>AW158+AX158</f>
        <v>0</v>
      </c>
      <c r="BD158" s="14">
        <f>H158/(100-BE158)*100</f>
        <v>0</v>
      </c>
      <c r="BE158" s="14">
        <v>0</v>
      </c>
      <c r="BF158" s="14">
        <f>158</f>
        <v>158</v>
      </c>
      <c r="BH158" s="14">
        <f>G158*AO158</f>
        <v>0</v>
      </c>
      <c r="BI158" s="14">
        <f>G158*AP158</f>
        <v>0</v>
      </c>
      <c r="BJ158" s="14">
        <f>G158*H158</f>
        <v>0</v>
      </c>
      <c r="BK158" s="14"/>
      <c r="BL158" s="14"/>
      <c r="BW158" s="14">
        <v>21</v>
      </c>
      <c r="BX158" s="3" t="s">
        <v>294</v>
      </c>
    </row>
    <row r="159" spans="1:76" ht="25.5" x14ac:dyDescent="0.25">
      <c r="A159" s="1" t="s">
        <v>466</v>
      </c>
      <c r="B159" s="2" t="s">
        <v>50</v>
      </c>
      <c r="C159" s="2" t="s">
        <v>297</v>
      </c>
      <c r="D159" s="81" t="s">
        <v>298</v>
      </c>
      <c r="E159" s="74"/>
      <c r="F159" s="2" t="s">
        <v>217</v>
      </c>
      <c r="G159" s="14">
        <v>65.064999999999998</v>
      </c>
      <c r="H159" s="64">
        <v>0</v>
      </c>
      <c r="I159" s="14">
        <f>G159*H159</f>
        <v>0</v>
      </c>
      <c r="K159" s="54"/>
      <c r="Z159" s="14">
        <f>IF(AQ159="5",BJ159,0)</f>
        <v>0</v>
      </c>
      <c r="AB159" s="14">
        <f>IF(AQ159="1",BH159,0)</f>
        <v>0</v>
      </c>
      <c r="AC159" s="14">
        <f>IF(AQ159="1",BI159,0)</f>
        <v>0</v>
      </c>
      <c r="AD159" s="14">
        <f>IF(AQ159="7",BH159,0)</f>
        <v>0</v>
      </c>
      <c r="AE159" s="14">
        <f>IF(AQ159="7",BI159,0)</f>
        <v>0</v>
      </c>
      <c r="AF159" s="14">
        <f>IF(AQ159="2",BH159,0)</f>
        <v>0</v>
      </c>
      <c r="AG159" s="14">
        <f>IF(AQ159="2",BI159,0)</f>
        <v>0</v>
      </c>
      <c r="AH159" s="14">
        <f>IF(AQ159="0",BJ159,0)</f>
        <v>0</v>
      </c>
      <c r="AI159" s="49" t="s">
        <v>50</v>
      </c>
      <c r="AJ159" s="14">
        <f>IF(AN159=0,I159,0)</f>
        <v>0</v>
      </c>
      <c r="AK159" s="14">
        <f>IF(AN159=12,I159,0)</f>
        <v>0</v>
      </c>
      <c r="AL159" s="14">
        <f>IF(AN159=21,I159,0)</f>
        <v>0</v>
      </c>
      <c r="AN159" s="14">
        <v>21</v>
      </c>
      <c r="AO159" s="14">
        <f>H159*0</f>
        <v>0</v>
      </c>
      <c r="AP159" s="14">
        <f>H159*(1-0)</f>
        <v>0</v>
      </c>
      <c r="AQ159" s="65" t="s">
        <v>168</v>
      </c>
      <c r="AV159" s="14">
        <f>AW159+AX159</f>
        <v>0</v>
      </c>
      <c r="AW159" s="14">
        <f>G159*AO159</f>
        <v>0</v>
      </c>
      <c r="AX159" s="14">
        <f>G159*AP159</f>
        <v>0</v>
      </c>
      <c r="AY159" s="65" t="s">
        <v>295</v>
      </c>
      <c r="AZ159" s="65" t="s">
        <v>454</v>
      </c>
      <c r="BA159" s="49" t="s">
        <v>368</v>
      </c>
      <c r="BC159" s="14">
        <f>AW159+AX159</f>
        <v>0</v>
      </c>
      <c r="BD159" s="14">
        <f>H159/(100-BE159)*100</f>
        <v>0</v>
      </c>
      <c r="BE159" s="14">
        <v>0</v>
      </c>
      <c r="BF159" s="14">
        <f>159</f>
        <v>159</v>
      </c>
      <c r="BH159" s="14">
        <f>G159*AO159</f>
        <v>0</v>
      </c>
      <c r="BI159" s="14">
        <f>G159*AP159</f>
        <v>0</v>
      </c>
      <c r="BJ159" s="14">
        <f>G159*H159</f>
        <v>0</v>
      </c>
      <c r="BK159" s="14"/>
      <c r="BL159" s="14"/>
      <c r="BW159" s="14">
        <v>21</v>
      </c>
      <c r="BX159" s="3" t="s">
        <v>298</v>
      </c>
    </row>
    <row r="160" spans="1:76" x14ac:dyDescent="0.25">
      <c r="A160" s="1" t="s">
        <v>467</v>
      </c>
      <c r="B160" s="2" t="s">
        <v>50</v>
      </c>
      <c r="C160" s="2" t="s">
        <v>300</v>
      </c>
      <c r="D160" s="81" t="s">
        <v>301</v>
      </c>
      <c r="E160" s="74"/>
      <c r="F160" s="2" t="s">
        <v>217</v>
      </c>
      <c r="G160" s="14">
        <v>5.0049999999999999</v>
      </c>
      <c r="H160" s="64">
        <v>0</v>
      </c>
      <c r="I160" s="14">
        <f>G160*H160</f>
        <v>0</v>
      </c>
      <c r="K160" s="54"/>
      <c r="Z160" s="14">
        <f>IF(AQ160="5",BJ160,0)</f>
        <v>0</v>
      </c>
      <c r="AB160" s="14">
        <f>IF(AQ160="1",BH160,0)</f>
        <v>0</v>
      </c>
      <c r="AC160" s="14">
        <f>IF(AQ160="1",BI160,0)</f>
        <v>0</v>
      </c>
      <c r="AD160" s="14">
        <f>IF(AQ160="7",BH160,0)</f>
        <v>0</v>
      </c>
      <c r="AE160" s="14">
        <f>IF(AQ160="7",BI160,0)</f>
        <v>0</v>
      </c>
      <c r="AF160" s="14">
        <f>IF(AQ160="2",BH160,0)</f>
        <v>0</v>
      </c>
      <c r="AG160" s="14">
        <f>IF(AQ160="2",BI160,0)</f>
        <v>0</v>
      </c>
      <c r="AH160" s="14">
        <f>IF(AQ160="0",BJ160,0)</f>
        <v>0</v>
      </c>
      <c r="AI160" s="49" t="s">
        <v>50</v>
      </c>
      <c r="AJ160" s="14">
        <f>IF(AN160=0,I160,0)</f>
        <v>0</v>
      </c>
      <c r="AK160" s="14">
        <f>IF(AN160=12,I160,0)</f>
        <v>0</v>
      </c>
      <c r="AL160" s="14">
        <f>IF(AN160=21,I160,0)</f>
        <v>0</v>
      </c>
      <c r="AN160" s="14">
        <v>21</v>
      </c>
      <c r="AO160" s="14">
        <f>H160*0</f>
        <v>0</v>
      </c>
      <c r="AP160" s="14">
        <f>H160*(1-0)</f>
        <v>0</v>
      </c>
      <c r="AQ160" s="65" t="s">
        <v>168</v>
      </c>
      <c r="AV160" s="14">
        <f>AW160+AX160</f>
        <v>0</v>
      </c>
      <c r="AW160" s="14">
        <f>G160*AO160</f>
        <v>0</v>
      </c>
      <c r="AX160" s="14">
        <f>G160*AP160</f>
        <v>0</v>
      </c>
      <c r="AY160" s="65" t="s">
        <v>295</v>
      </c>
      <c r="AZ160" s="65" t="s">
        <v>454</v>
      </c>
      <c r="BA160" s="49" t="s">
        <v>368</v>
      </c>
      <c r="BC160" s="14">
        <f>AW160+AX160</f>
        <v>0</v>
      </c>
      <c r="BD160" s="14">
        <f>H160/(100-BE160)*100</f>
        <v>0</v>
      </c>
      <c r="BE160" s="14">
        <v>0</v>
      </c>
      <c r="BF160" s="14">
        <f>160</f>
        <v>160</v>
      </c>
      <c r="BH160" s="14">
        <f>G160*AO160</f>
        <v>0</v>
      </c>
      <c r="BI160" s="14">
        <f>G160*AP160</f>
        <v>0</v>
      </c>
      <c r="BJ160" s="14">
        <f>G160*H160</f>
        <v>0</v>
      </c>
      <c r="BK160" s="14"/>
      <c r="BL160" s="14"/>
      <c r="BW160" s="14">
        <v>21</v>
      </c>
      <c r="BX160" s="3" t="s">
        <v>301</v>
      </c>
    </row>
    <row r="161" spans="1:76" ht="25.5" x14ac:dyDescent="0.25">
      <c r="A161" s="1" t="s">
        <v>468</v>
      </c>
      <c r="B161" s="2" t="s">
        <v>50</v>
      </c>
      <c r="C161" s="2" t="s">
        <v>303</v>
      </c>
      <c r="D161" s="81" t="s">
        <v>304</v>
      </c>
      <c r="E161" s="74"/>
      <c r="F161" s="2" t="s">
        <v>217</v>
      </c>
      <c r="G161" s="14">
        <v>2.75</v>
      </c>
      <c r="H161" s="64">
        <v>0</v>
      </c>
      <c r="I161" s="14">
        <f>G161*H161</f>
        <v>0</v>
      </c>
      <c r="K161" s="54"/>
      <c r="Z161" s="14">
        <f>IF(AQ161="5",BJ161,0)</f>
        <v>0</v>
      </c>
      <c r="AB161" s="14">
        <f>IF(AQ161="1",BH161,0)</f>
        <v>0</v>
      </c>
      <c r="AC161" s="14">
        <f>IF(AQ161="1",BI161,0)</f>
        <v>0</v>
      </c>
      <c r="AD161" s="14">
        <f>IF(AQ161="7",BH161,0)</f>
        <v>0</v>
      </c>
      <c r="AE161" s="14">
        <f>IF(AQ161="7",BI161,0)</f>
        <v>0</v>
      </c>
      <c r="AF161" s="14">
        <f>IF(AQ161="2",BH161,0)</f>
        <v>0</v>
      </c>
      <c r="AG161" s="14">
        <f>IF(AQ161="2",BI161,0)</f>
        <v>0</v>
      </c>
      <c r="AH161" s="14">
        <f>IF(AQ161="0",BJ161,0)</f>
        <v>0</v>
      </c>
      <c r="AI161" s="49" t="s">
        <v>50</v>
      </c>
      <c r="AJ161" s="14">
        <f>IF(AN161=0,I161,0)</f>
        <v>0</v>
      </c>
      <c r="AK161" s="14">
        <f>IF(AN161=12,I161,0)</f>
        <v>0</v>
      </c>
      <c r="AL161" s="14">
        <f>IF(AN161=21,I161,0)</f>
        <v>0</v>
      </c>
      <c r="AN161" s="14">
        <v>21</v>
      </c>
      <c r="AO161" s="14">
        <f>H161*0</f>
        <v>0</v>
      </c>
      <c r="AP161" s="14">
        <f>H161*(1-0)</f>
        <v>0</v>
      </c>
      <c r="AQ161" s="65" t="s">
        <v>168</v>
      </c>
      <c r="AV161" s="14">
        <f>AW161+AX161</f>
        <v>0</v>
      </c>
      <c r="AW161" s="14">
        <f>G161*AO161</f>
        <v>0</v>
      </c>
      <c r="AX161" s="14">
        <f>G161*AP161</f>
        <v>0</v>
      </c>
      <c r="AY161" s="65" t="s">
        <v>295</v>
      </c>
      <c r="AZ161" s="65" t="s">
        <v>454</v>
      </c>
      <c r="BA161" s="49" t="s">
        <v>368</v>
      </c>
      <c r="BC161" s="14">
        <f>AW161+AX161</f>
        <v>0</v>
      </c>
      <c r="BD161" s="14">
        <f>H161/(100-BE161)*100</f>
        <v>0</v>
      </c>
      <c r="BE161" s="14">
        <v>0</v>
      </c>
      <c r="BF161" s="14">
        <f>161</f>
        <v>161</v>
      </c>
      <c r="BH161" s="14">
        <f>G161*AO161</f>
        <v>0</v>
      </c>
      <c r="BI161" s="14">
        <f>G161*AP161</f>
        <v>0</v>
      </c>
      <c r="BJ161" s="14">
        <f>G161*H161</f>
        <v>0</v>
      </c>
      <c r="BK161" s="14"/>
      <c r="BL161" s="14"/>
      <c r="BW161" s="14">
        <v>21</v>
      </c>
      <c r="BX161" s="3" t="s">
        <v>304</v>
      </c>
    </row>
    <row r="162" spans="1:76" ht="25.5" x14ac:dyDescent="0.25">
      <c r="A162" s="1" t="s">
        <v>469</v>
      </c>
      <c r="B162" s="2" t="s">
        <v>50</v>
      </c>
      <c r="C162" s="2" t="s">
        <v>306</v>
      </c>
      <c r="D162" s="81" t="s">
        <v>219</v>
      </c>
      <c r="E162" s="74"/>
      <c r="F162" s="2" t="s">
        <v>217</v>
      </c>
      <c r="G162" s="14">
        <v>2.2549999999999999</v>
      </c>
      <c r="H162" s="64">
        <v>0</v>
      </c>
      <c r="I162" s="14">
        <f>G162*H162</f>
        <v>0</v>
      </c>
      <c r="K162" s="54"/>
      <c r="Z162" s="14">
        <f>IF(AQ162="5",BJ162,0)</f>
        <v>0</v>
      </c>
      <c r="AB162" s="14">
        <f>IF(AQ162="1",BH162,0)</f>
        <v>0</v>
      </c>
      <c r="AC162" s="14">
        <f>IF(AQ162="1",BI162,0)</f>
        <v>0</v>
      </c>
      <c r="AD162" s="14">
        <f>IF(AQ162="7",BH162,0)</f>
        <v>0</v>
      </c>
      <c r="AE162" s="14">
        <f>IF(AQ162="7",BI162,0)</f>
        <v>0</v>
      </c>
      <c r="AF162" s="14">
        <f>IF(AQ162="2",BH162,0)</f>
        <v>0</v>
      </c>
      <c r="AG162" s="14">
        <f>IF(AQ162="2",BI162,0)</f>
        <v>0</v>
      </c>
      <c r="AH162" s="14">
        <f>IF(AQ162="0",BJ162,0)</f>
        <v>0</v>
      </c>
      <c r="AI162" s="49" t="s">
        <v>50</v>
      </c>
      <c r="AJ162" s="14">
        <f>IF(AN162=0,I162,0)</f>
        <v>0</v>
      </c>
      <c r="AK162" s="14">
        <f>IF(AN162=12,I162,0)</f>
        <v>0</v>
      </c>
      <c r="AL162" s="14">
        <f>IF(AN162=21,I162,0)</f>
        <v>0</v>
      </c>
      <c r="AN162" s="14">
        <v>21</v>
      </c>
      <c r="AO162" s="14">
        <f>H162*0</f>
        <v>0</v>
      </c>
      <c r="AP162" s="14">
        <f>H162*(1-0)</f>
        <v>0</v>
      </c>
      <c r="AQ162" s="65" t="s">
        <v>168</v>
      </c>
      <c r="AV162" s="14">
        <f>AW162+AX162</f>
        <v>0</v>
      </c>
      <c r="AW162" s="14">
        <f>G162*AO162</f>
        <v>0</v>
      </c>
      <c r="AX162" s="14">
        <f>G162*AP162</f>
        <v>0</v>
      </c>
      <c r="AY162" s="65" t="s">
        <v>295</v>
      </c>
      <c r="AZ162" s="65" t="s">
        <v>454</v>
      </c>
      <c r="BA162" s="49" t="s">
        <v>368</v>
      </c>
      <c r="BC162" s="14">
        <f>AW162+AX162</f>
        <v>0</v>
      </c>
      <c r="BD162" s="14">
        <f>H162/(100-BE162)*100</f>
        <v>0</v>
      </c>
      <c r="BE162" s="14">
        <v>0</v>
      </c>
      <c r="BF162" s="14">
        <f>162</f>
        <v>162</v>
      </c>
      <c r="BH162" s="14">
        <f>G162*AO162</f>
        <v>0</v>
      </c>
      <c r="BI162" s="14">
        <f>G162*AP162</f>
        <v>0</v>
      </c>
      <c r="BJ162" s="14">
        <f>G162*H162</f>
        <v>0</v>
      </c>
      <c r="BK162" s="14"/>
      <c r="BL162" s="14"/>
      <c r="BW162" s="14">
        <v>21</v>
      </c>
      <c r="BX162" s="3" t="s">
        <v>219</v>
      </c>
    </row>
    <row r="163" spans="1:76" x14ac:dyDescent="0.25">
      <c r="A163" s="60" t="s">
        <v>20</v>
      </c>
      <c r="B163" s="61" t="s">
        <v>56</v>
      </c>
      <c r="C163" s="61" t="s">
        <v>20</v>
      </c>
      <c r="D163" s="162" t="s">
        <v>45</v>
      </c>
      <c r="E163" s="163"/>
      <c r="F163" s="62" t="s">
        <v>13</v>
      </c>
      <c r="G163" s="62" t="s">
        <v>13</v>
      </c>
      <c r="H163" s="63" t="s">
        <v>13</v>
      </c>
      <c r="I163" s="43">
        <f>I164+I166+I168+I173+I176+I178+I188+I192</f>
        <v>0</v>
      </c>
      <c r="K163" s="54"/>
    </row>
    <row r="164" spans="1:76" x14ac:dyDescent="0.25">
      <c r="A164" s="60" t="s">
        <v>20</v>
      </c>
      <c r="B164" s="61" t="s">
        <v>56</v>
      </c>
      <c r="C164" s="61" t="s">
        <v>26</v>
      </c>
      <c r="D164" s="162" t="s">
        <v>27</v>
      </c>
      <c r="E164" s="163"/>
      <c r="F164" s="62" t="s">
        <v>13</v>
      </c>
      <c r="G164" s="62" t="s">
        <v>13</v>
      </c>
      <c r="H164" s="63" t="s">
        <v>13</v>
      </c>
      <c r="I164" s="43">
        <f>SUM(I165:I165)</f>
        <v>0</v>
      </c>
      <c r="K164" s="54"/>
      <c r="AI164" s="49" t="s">
        <v>56</v>
      </c>
      <c r="AS164" s="43">
        <f>SUM(AJ165:AJ165)</f>
        <v>0</v>
      </c>
      <c r="AT164" s="43">
        <f>SUM(AK165:AK165)</f>
        <v>0</v>
      </c>
      <c r="AU164" s="43">
        <f>SUM(AL165:AL165)</f>
        <v>0</v>
      </c>
    </row>
    <row r="165" spans="1:76" ht="25.5" x14ac:dyDescent="0.25">
      <c r="A165" s="1" t="s">
        <v>470</v>
      </c>
      <c r="B165" s="2" t="s">
        <v>56</v>
      </c>
      <c r="C165" s="2" t="s">
        <v>311</v>
      </c>
      <c r="D165" s="81" t="s">
        <v>189</v>
      </c>
      <c r="E165" s="74"/>
      <c r="F165" s="2" t="s">
        <v>190</v>
      </c>
      <c r="G165" s="14">
        <v>0.86399999999999999</v>
      </c>
      <c r="H165" s="64">
        <v>0</v>
      </c>
      <c r="I165" s="14">
        <f>G165*H165</f>
        <v>0</v>
      </c>
      <c r="K165" s="54"/>
      <c r="Z165" s="14">
        <f>IF(AQ165="5",BJ165,0)</f>
        <v>0</v>
      </c>
      <c r="AB165" s="14">
        <f>IF(AQ165="1",BH165,0)</f>
        <v>0</v>
      </c>
      <c r="AC165" s="14">
        <f>IF(AQ165="1",BI165,0)</f>
        <v>0</v>
      </c>
      <c r="AD165" s="14">
        <f>IF(AQ165="7",BH165,0)</f>
        <v>0</v>
      </c>
      <c r="AE165" s="14">
        <f>IF(AQ165="7",BI165,0)</f>
        <v>0</v>
      </c>
      <c r="AF165" s="14">
        <f>IF(AQ165="2",BH165,0)</f>
        <v>0</v>
      </c>
      <c r="AG165" s="14">
        <f>IF(AQ165="2",BI165,0)</f>
        <v>0</v>
      </c>
      <c r="AH165" s="14">
        <f>IF(AQ165="0",BJ165,0)</f>
        <v>0</v>
      </c>
      <c r="AI165" s="49" t="s">
        <v>56</v>
      </c>
      <c r="AJ165" s="14">
        <f>IF(AN165=0,I165,0)</f>
        <v>0</v>
      </c>
      <c r="AK165" s="14">
        <f>IF(AN165=12,I165,0)</f>
        <v>0</v>
      </c>
      <c r="AL165" s="14">
        <f>IF(AN165=21,I165,0)</f>
        <v>0</v>
      </c>
      <c r="AN165" s="14">
        <v>21</v>
      </c>
      <c r="AO165" s="14">
        <f>H165*0</f>
        <v>0</v>
      </c>
      <c r="AP165" s="14">
        <f>H165*(1-0)</f>
        <v>0</v>
      </c>
      <c r="AQ165" s="65" t="s">
        <v>168</v>
      </c>
      <c r="AV165" s="14">
        <f>AW165+AX165</f>
        <v>0</v>
      </c>
      <c r="AW165" s="14">
        <f>G165*AO165</f>
        <v>0</v>
      </c>
      <c r="AX165" s="14">
        <f>G165*AP165</f>
        <v>0</v>
      </c>
      <c r="AY165" s="65" t="s">
        <v>191</v>
      </c>
      <c r="AZ165" s="65" t="s">
        <v>471</v>
      </c>
      <c r="BA165" s="49" t="s">
        <v>472</v>
      </c>
      <c r="BC165" s="14">
        <f>AW165+AX165</f>
        <v>0</v>
      </c>
      <c r="BD165" s="14">
        <f>H165/(100-BE165)*100</f>
        <v>0</v>
      </c>
      <c r="BE165" s="14">
        <v>0</v>
      </c>
      <c r="BF165" s="14">
        <f>165</f>
        <v>165</v>
      </c>
      <c r="BH165" s="14">
        <f>G165*AO165</f>
        <v>0</v>
      </c>
      <c r="BI165" s="14">
        <f>G165*AP165</f>
        <v>0</v>
      </c>
      <c r="BJ165" s="14">
        <f>G165*H165</f>
        <v>0</v>
      </c>
      <c r="BK165" s="14"/>
      <c r="BL165" s="14">
        <v>12</v>
      </c>
      <c r="BW165" s="14">
        <v>21</v>
      </c>
      <c r="BX165" s="3" t="s">
        <v>189</v>
      </c>
    </row>
    <row r="166" spans="1:76" x14ac:dyDescent="0.25">
      <c r="A166" s="60" t="s">
        <v>20</v>
      </c>
      <c r="B166" s="61" t="s">
        <v>56</v>
      </c>
      <c r="C166" s="61" t="s">
        <v>46</v>
      </c>
      <c r="D166" s="162" t="s">
        <v>47</v>
      </c>
      <c r="E166" s="163"/>
      <c r="F166" s="62" t="s">
        <v>13</v>
      </c>
      <c r="G166" s="62" t="s">
        <v>13</v>
      </c>
      <c r="H166" s="63" t="s">
        <v>13</v>
      </c>
      <c r="I166" s="43">
        <f>SUM(I167:I167)</f>
        <v>0</v>
      </c>
      <c r="K166" s="54"/>
      <c r="AI166" s="49" t="s">
        <v>56</v>
      </c>
      <c r="AS166" s="43">
        <f>SUM(AJ167:AJ167)</f>
        <v>0</v>
      </c>
      <c r="AT166" s="43">
        <f>SUM(AK167:AK167)</f>
        <v>0</v>
      </c>
      <c r="AU166" s="43">
        <f>SUM(AL167:AL167)</f>
        <v>0</v>
      </c>
    </row>
    <row r="167" spans="1:76" ht="25.5" x14ac:dyDescent="0.25">
      <c r="A167" s="1" t="s">
        <v>473</v>
      </c>
      <c r="B167" s="2" t="s">
        <v>56</v>
      </c>
      <c r="C167" s="2" t="s">
        <v>315</v>
      </c>
      <c r="D167" s="81" t="s">
        <v>316</v>
      </c>
      <c r="E167" s="74"/>
      <c r="F167" s="2" t="s">
        <v>190</v>
      </c>
      <c r="G167" s="14">
        <v>0.86399999999999999</v>
      </c>
      <c r="H167" s="64">
        <v>0</v>
      </c>
      <c r="I167" s="14">
        <f>G167*H167</f>
        <v>0</v>
      </c>
      <c r="K167" s="54"/>
      <c r="Z167" s="14">
        <f>IF(AQ167="5",BJ167,0)</f>
        <v>0</v>
      </c>
      <c r="AB167" s="14">
        <f>IF(AQ167="1",BH167,0)</f>
        <v>0</v>
      </c>
      <c r="AC167" s="14">
        <f>IF(AQ167="1",BI167,0)</f>
        <v>0</v>
      </c>
      <c r="AD167" s="14">
        <f>IF(AQ167="7",BH167,0)</f>
        <v>0</v>
      </c>
      <c r="AE167" s="14">
        <f>IF(AQ167="7",BI167,0)</f>
        <v>0</v>
      </c>
      <c r="AF167" s="14">
        <f>IF(AQ167="2",BH167,0)</f>
        <v>0</v>
      </c>
      <c r="AG167" s="14">
        <f>IF(AQ167="2",BI167,0)</f>
        <v>0</v>
      </c>
      <c r="AH167" s="14">
        <f>IF(AQ167="0",BJ167,0)</f>
        <v>0</v>
      </c>
      <c r="AI167" s="49" t="s">
        <v>56</v>
      </c>
      <c r="AJ167" s="14">
        <f>IF(AN167=0,I167,0)</f>
        <v>0</v>
      </c>
      <c r="AK167" s="14">
        <f>IF(AN167=12,I167,0)</f>
        <v>0</v>
      </c>
      <c r="AL167" s="14">
        <f>IF(AN167=21,I167,0)</f>
        <v>0</v>
      </c>
      <c r="AN167" s="14">
        <v>21</v>
      </c>
      <c r="AO167" s="14">
        <f>H167*0</f>
        <v>0</v>
      </c>
      <c r="AP167" s="14">
        <f>H167*(1-0)</f>
        <v>0</v>
      </c>
      <c r="AQ167" s="65" t="s">
        <v>168</v>
      </c>
      <c r="AV167" s="14">
        <f>AW167+AX167</f>
        <v>0</v>
      </c>
      <c r="AW167" s="14">
        <f>G167*AO167</f>
        <v>0</v>
      </c>
      <c r="AX167" s="14">
        <f>G167*AP167</f>
        <v>0</v>
      </c>
      <c r="AY167" s="65" t="s">
        <v>317</v>
      </c>
      <c r="AZ167" s="65" t="s">
        <v>471</v>
      </c>
      <c r="BA167" s="49" t="s">
        <v>472</v>
      </c>
      <c r="BC167" s="14">
        <f>AW167+AX167</f>
        <v>0</v>
      </c>
      <c r="BD167" s="14">
        <f>H167/(100-BE167)*100</f>
        <v>0</v>
      </c>
      <c r="BE167" s="14">
        <v>0</v>
      </c>
      <c r="BF167" s="14">
        <f>167</f>
        <v>167</v>
      </c>
      <c r="BH167" s="14">
        <f>G167*AO167</f>
        <v>0</v>
      </c>
      <c r="BI167" s="14">
        <f>G167*AP167</f>
        <v>0</v>
      </c>
      <c r="BJ167" s="14">
        <f>G167*H167</f>
        <v>0</v>
      </c>
      <c r="BK167" s="14"/>
      <c r="BL167" s="14">
        <v>13</v>
      </c>
      <c r="BW167" s="14">
        <v>21</v>
      </c>
      <c r="BX167" s="3" t="s">
        <v>316</v>
      </c>
    </row>
    <row r="168" spans="1:76" x14ac:dyDescent="0.25">
      <c r="A168" s="60" t="s">
        <v>20</v>
      </c>
      <c r="B168" s="61" t="s">
        <v>56</v>
      </c>
      <c r="C168" s="61" t="s">
        <v>28</v>
      </c>
      <c r="D168" s="162" t="s">
        <v>29</v>
      </c>
      <c r="E168" s="163"/>
      <c r="F168" s="62" t="s">
        <v>13</v>
      </c>
      <c r="G168" s="62" t="s">
        <v>13</v>
      </c>
      <c r="H168" s="63" t="s">
        <v>13</v>
      </c>
      <c r="I168" s="43">
        <f>SUM(I169:I172)</f>
        <v>0</v>
      </c>
      <c r="K168" s="54"/>
      <c r="AI168" s="49" t="s">
        <v>56</v>
      </c>
      <c r="AS168" s="43">
        <f>SUM(AJ169:AJ172)</f>
        <v>0</v>
      </c>
      <c r="AT168" s="43">
        <f>SUM(AK169:AK172)</f>
        <v>0</v>
      </c>
      <c r="AU168" s="43">
        <f>SUM(AL169:AL172)</f>
        <v>0</v>
      </c>
    </row>
    <row r="169" spans="1:76" ht="25.5" x14ac:dyDescent="0.25">
      <c r="A169" s="1" t="s">
        <v>474</v>
      </c>
      <c r="B169" s="2" t="s">
        <v>56</v>
      </c>
      <c r="C169" s="2" t="s">
        <v>199</v>
      </c>
      <c r="D169" s="81" t="s">
        <v>200</v>
      </c>
      <c r="E169" s="74"/>
      <c r="F169" s="2" t="s">
        <v>190</v>
      </c>
      <c r="G169" s="14">
        <v>0.86399999999999999</v>
      </c>
      <c r="H169" s="64">
        <v>0</v>
      </c>
      <c r="I169" s="14">
        <f>G169*H169</f>
        <v>0</v>
      </c>
      <c r="K169" s="54"/>
      <c r="Z169" s="14">
        <f>IF(AQ169="5",BJ169,0)</f>
        <v>0</v>
      </c>
      <c r="AB169" s="14">
        <f>IF(AQ169="1",BH169,0)</f>
        <v>0</v>
      </c>
      <c r="AC169" s="14">
        <f>IF(AQ169="1",BI169,0)</f>
        <v>0</v>
      </c>
      <c r="AD169" s="14">
        <f>IF(AQ169="7",BH169,0)</f>
        <v>0</v>
      </c>
      <c r="AE169" s="14">
        <f>IF(AQ169="7",BI169,0)</f>
        <v>0</v>
      </c>
      <c r="AF169" s="14">
        <f>IF(AQ169="2",BH169,0)</f>
        <v>0</v>
      </c>
      <c r="AG169" s="14">
        <f>IF(AQ169="2",BI169,0)</f>
        <v>0</v>
      </c>
      <c r="AH169" s="14">
        <f>IF(AQ169="0",BJ169,0)</f>
        <v>0</v>
      </c>
      <c r="AI169" s="49" t="s">
        <v>56</v>
      </c>
      <c r="AJ169" s="14">
        <f>IF(AN169=0,I169,0)</f>
        <v>0</v>
      </c>
      <c r="AK169" s="14">
        <f>IF(AN169=12,I169,0)</f>
        <v>0</v>
      </c>
      <c r="AL169" s="14">
        <f>IF(AN169=21,I169,0)</f>
        <v>0</v>
      </c>
      <c r="AN169" s="14">
        <v>21</v>
      </c>
      <c r="AO169" s="14">
        <f>H169*0</f>
        <v>0</v>
      </c>
      <c r="AP169" s="14">
        <f>H169*(1-0)</f>
        <v>0</v>
      </c>
      <c r="AQ169" s="65" t="s">
        <v>168</v>
      </c>
      <c r="AV169" s="14">
        <f>AW169+AX169</f>
        <v>0</v>
      </c>
      <c r="AW169" s="14">
        <f>G169*AO169</f>
        <v>0</v>
      </c>
      <c r="AX169" s="14">
        <f>G169*AP169</f>
        <v>0</v>
      </c>
      <c r="AY169" s="65" t="s">
        <v>201</v>
      </c>
      <c r="AZ169" s="65" t="s">
        <v>471</v>
      </c>
      <c r="BA169" s="49" t="s">
        <v>472</v>
      </c>
      <c r="BC169" s="14">
        <f>AW169+AX169</f>
        <v>0</v>
      </c>
      <c r="BD169" s="14">
        <f>H169/(100-BE169)*100</f>
        <v>0</v>
      </c>
      <c r="BE169" s="14">
        <v>0</v>
      </c>
      <c r="BF169" s="14">
        <f>169</f>
        <v>169</v>
      </c>
      <c r="BH169" s="14">
        <f>G169*AO169</f>
        <v>0</v>
      </c>
      <c r="BI169" s="14">
        <f>G169*AP169</f>
        <v>0</v>
      </c>
      <c r="BJ169" s="14">
        <f>G169*H169</f>
        <v>0</v>
      </c>
      <c r="BK169" s="14"/>
      <c r="BL169" s="14">
        <v>16</v>
      </c>
      <c r="BW169" s="14">
        <v>21</v>
      </c>
      <c r="BX169" s="3" t="s">
        <v>200</v>
      </c>
    </row>
    <row r="170" spans="1:76" ht="25.5" x14ac:dyDescent="0.25">
      <c r="A170" s="1" t="s">
        <v>475</v>
      </c>
      <c r="B170" s="2" t="s">
        <v>56</v>
      </c>
      <c r="C170" s="2" t="s">
        <v>203</v>
      </c>
      <c r="D170" s="81" t="s">
        <v>200</v>
      </c>
      <c r="E170" s="74"/>
      <c r="F170" s="2" t="s">
        <v>190</v>
      </c>
      <c r="G170" s="14">
        <v>3.456</v>
      </c>
      <c r="H170" s="64">
        <v>0</v>
      </c>
      <c r="I170" s="14">
        <f>G170*H170</f>
        <v>0</v>
      </c>
      <c r="K170" s="54"/>
      <c r="Z170" s="14">
        <f>IF(AQ170="5",BJ170,0)</f>
        <v>0</v>
      </c>
      <c r="AB170" s="14">
        <f>IF(AQ170="1",BH170,0)</f>
        <v>0</v>
      </c>
      <c r="AC170" s="14">
        <f>IF(AQ170="1",BI170,0)</f>
        <v>0</v>
      </c>
      <c r="AD170" s="14">
        <f>IF(AQ170="7",BH170,0)</f>
        <v>0</v>
      </c>
      <c r="AE170" s="14">
        <f>IF(AQ170="7",BI170,0)</f>
        <v>0</v>
      </c>
      <c r="AF170" s="14">
        <f>IF(AQ170="2",BH170,0)</f>
        <v>0</v>
      </c>
      <c r="AG170" s="14">
        <f>IF(AQ170="2",BI170,0)</f>
        <v>0</v>
      </c>
      <c r="AH170" s="14">
        <f>IF(AQ170="0",BJ170,0)</f>
        <v>0</v>
      </c>
      <c r="AI170" s="49" t="s">
        <v>56</v>
      </c>
      <c r="AJ170" s="14">
        <f>IF(AN170=0,I170,0)</f>
        <v>0</v>
      </c>
      <c r="AK170" s="14">
        <f>IF(AN170=12,I170,0)</f>
        <v>0</v>
      </c>
      <c r="AL170" s="14">
        <f>IF(AN170=21,I170,0)</f>
        <v>0</v>
      </c>
      <c r="AN170" s="14">
        <v>21</v>
      </c>
      <c r="AO170" s="14">
        <f>H170*0</f>
        <v>0</v>
      </c>
      <c r="AP170" s="14">
        <f>H170*(1-0)</f>
        <v>0</v>
      </c>
      <c r="AQ170" s="65" t="s">
        <v>168</v>
      </c>
      <c r="AV170" s="14">
        <f>AW170+AX170</f>
        <v>0</v>
      </c>
      <c r="AW170" s="14">
        <f>G170*AO170</f>
        <v>0</v>
      </c>
      <c r="AX170" s="14">
        <f>G170*AP170</f>
        <v>0</v>
      </c>
      <c r="AY170" s="65" t="s">
        <v>201</v>
      </c>
      <c r="AZ170" s="65" t="s">
        <v>471</v>
      </c>
      <c r="BA170" s="49" t="s">
        <v>472</v>
      </c>
      <c r="BC170" s="14">
        <f>AW170+AX170</f>
        <v>0</v>
      </c>
      <c r="BD170" s="14">
        <f>H170/(100-BE170)*100</f>
        <v>0</v>
      </c>
      <c r="BE170" s="14">
        <v>0</v>
      </c>
      <c r="BF170" s="14">
        <f>170</f>
        <v>170</v>
      </c>
      <c r="BH170" s="14">
        <f>G170*AO170</f>
        <v>0</v>
      </c>
      <c r="BI170" s="14">
        <f>G170*AP170</f>
        <v>0</v>
      </c>
      <c r="BJ170" s="14">
        <f>G170*H170</f>
        <v>0</v>
      </c>
      <c r="BK170" s="14"/>
      <c r="BL170" s="14">
        <v>16</v>
      </c>
      <c r="BW170" s="14">
        <v>21</v>
      </c>
      <c r="BX170" s="3" t="s">
        <v>200</v>
      </c>
    </row>
    <row r="171" spans="1:76" ht="25.5" x14ac:dyDescent="0.25">
      <c r="A171" s="1" t="s">
        <v>476</v>
      </c>
      <c r="B171" s="2" t="s">
        <v>56</v>
      </c>
      <c r="C171" s="2" t="s">
        <v>321</v>
      </c>
      <c r="D171" s="81" t="s">
        <v>322</v>
      </c>
      <c r="E171" s="74"/>
      <c r="F171" s="2" t="s">
        <v>190</v>
      </c>
      <c r="G171" s="14">
        <v>0.86399999999999999</v>
      </c>
      <c r="H171" s="64">
        <v>0</v>
      </c>
      <c r="I171" s="14">
        <f>G171*H171</f>
        <v>0</v>
      </c>
      <c r="K171" s="54"/>
      <c r="Z171" s="14">
        <f>IF(AQ171="5",BJ171,0)</f>
        <v>0</v>
      </c>
      <c r="AB171" s="14">
        <f>IF(AQ171="1",BH171,0)</f>
        <v>0</v>
      </c>
      <c r="AC171" s="14">
        <f>IF(AQ171="1",BI171,0)</f>
        <v>0</v>
      </c>
      <c r="AD171" s="14">
        <f>IF(AQ171="7",BH171,0)</f>
        <v>0</v>
      </c>
      <c r="AE171" s="14">
        <f>IF(AQ171="7",BI171,0)</f>
        <v>0</v>
      </c>
      <c r="AF171" s="14">
        <f>IF(AQ171="2",BH171,0)</f>
        <v>0</v>
      </c>
      <c r="AG171" s="14">
        <f>IF(AQ171="2",BI171,0)</f>
        <v>0</v>
      </c>
      <c r="AH171" s="14">
        <f>IF(AQ171="0",BJ171,0)</f>
        <v>0</v>
      </c>
      <c r="AI171" s="49" t="s">
        <v>56</v>
      </c>
      <c r="AJ171" s="14">
        <f>IF(AN171=0,I171,0)</f>
        <v>0</v>
      </c>
      <c r="AK171" s="14">
        <f>IF(AN171=12,I171,0)</f>
        <v>0</v>
      </c>
      <c r="AL171" s="14">
        <f>IF(AN171=21,I171,0)</f>
        <v>0</v>
      </c>
      <c r="AN171" s="14">
        <v>21</v>
      </c>
      <c r="AO171" s="14">
        <f>H171*0</f>
        <v>0</v>
      </c>
      <c r="AP171" s="14">
        <f>H171*(1-0)</f>
        <v>0</v>
      </c>
      <c r="AQ171" s="65" t="s">
        <v>168</v>
      </c>
      <c r="AV171" s="14">
        <f>AW171+AX171</f>
        <v>0</v>
      </c>
      <c r="AW171" s="14">
        <f>G171*AO171</f>
        <v>0</v>
      </c>
      <c r="AX171" s="14">
        <f>G171*AP171</f>
        <v>0</v>
      </c>
      <c r="AY171" s="65" t="s">
        <v>201</v>
      </c>
      <c r="AZ171" s="65" t="s">
        <v>471</v>
      </c>
      <c r="BA171" s="49" t="s">
        <v>472</v>
      </c>
      <c r="BC171" s="14">
        <f>AW171+AX171</f>
        <v>0</v>
      </c>
      <c r="BD171" s="14">
        <f>H171/(100-BE171)*100</f>
        <v>0</v>
      </c>
      <c r="BE171" s="14">
        <v>0</v>
      </c>
      <c r="BF171" s="14">
        <f>171</f>
        <v>171</v>
      </c>
      <c r="BH171" s="14">
        <f>G171*AO171</f>
        <v>0</v>
      </c>
      <c r="BI171" s="14">
        <f>G171*AP171</f>
        <v>0</v>
      </c>
      <c r="BJ171" s="14">
        <f>G171*H171</f>
        <v>0</v>
      </c>
      <c r="BK171" s="14"/>
      <c r="BL171" s="14">
        <v>16</v>
      </c>
      <c r="BW171" s="14">
        <v>21</v>
      </c>
      <c r="BX171" s="3" t="s">
        <v>322</v>
      </c>
    </row>
    <row r="172" spans="1:76" ht="25.5" x14ac:dyDescent="0.25">
      <c r="A172" s="1" t="s">
        <v>477</v>
      </c>
      <c r="B172" s="2" t="s">
        <v>56</v>
      </c>
      <c r="C172" s="2" t="s">
        <v>206</v>
      </c>
      <c r="D172" s="81" t="s">
        <v>207</v>
      </c>
      <c r="E172" s="74"/>
      <c r="F172" s="2" t="s">
        <v>190</v>
      </c>
      <c r="G172" s="14">
        <v>0.86399999999999999</v>
      </c>
      <c r="H172" s="64">
        <v>0</v>
      </c>
      <c r="I172" s="14">
        <f>G172*H172</f>
        <v>0</v>
      </c>
      <c r="K172" s="54"/>
      <c r="Z172" s="14">
        <f>IF(AQ172="5",BJ172,0)</f>
        <v>0</v>
      </c>
      <c r="AB172" s="14">
        <f>IF(AQ172="1",BH172,0)</f>
        <v>0</v>
      </c>
      <c r="AC172" s="14">
        <f>IF(AQ172="1",BI172,0)</f>
        <v>0</v>
      </c>
      <c r="AD172" s="14">
        <f>IF(AQ172="7",BH172,0)</f>
        <v>0</v>
      </c>
      <c r="AE172" s="14">
        <f>IF(AQ172="7",BI172,0)</f>
        <v>0</v>
      </c>
      <c r="AF172" s="14">
        <f>IF(AQ172="2",BH172,0)</f>
        <v>0</v>
      </c>
      <c r="AG172" s="14">
        <f>IF(AQ172="2",BI172,0)</f>
        <v>0</v>
      </c>
      <c r="AH172" s="14">
        <f>IF(AQ172="0",BJ172,0)</f>
        <v>0</v>
      </c>
      <c r="AI172" s="49" t="s">
        <v>56</v>
      </c>
      <c r="AJ172" s="14">
        <f>IF(AN172=0,I172,0)</f>
        <v>0</v>
      </c>
      <c r="AK172" s="14">
        <f>IF(AN172=12,I172,0)</f>
        <v>0</v>
      </c>
      <c r="AL172" s="14">
        <f>IF(AN172=21,I172,0)</f>
        <v>0</v>
      </c>
      <c r="AN172" s="14">
        <v>21</v>
      </c>
      <c r="AO172" s="14">
        <f>H172*0</f>
        <v>0</v>
      </c>
      <c r="AP172" s="14">
        <f>H172*(1-0)</f>
        <v>0</v>
      </c>
      <c r="AQ172" s="65" t="s">
        <v>168</v>
      </c>
      <c r="AV172" s="14">
        <f>AW172+AX172</f>
        <v>0</v>
      </c>
      <c r="AW172" s="14">
        <f>G172*AO172</f>
        <v>0</v>
      </c>
      <c r="AX172" s="14">
        <f>G172*AP172</f>
        <v>0</v>
      </c>
      <c r="AY172" s="65" t="s">
        <v>201</v>
      </c>
      <c r="AZ172" s="65" t="s">
        <v>471</v>
      </c>
      <c r="BA172" s="49" t="s">
        <v>472</v>
      </c>
      <c r="BC172" s="14">
        <f>AW172+AX172</f>
        <v>0</v>
      </c>
      <c r="BD172" s="14">
        <f>H172/(100-BE172)*100</f>
        <v>0</v>
      </c>
      <c r="BE172" s="14">
        <v>0</v>
      </c>
      <c r="BF172" s="14">
        <f>172</f>
        <v>172</v>
      </c>
      <c r="BH172" s="14">
        <f>G172*AO172</f>
        <v>0</v>
      </c>
      <c r="BI172" s="14">
        <f>G172*AP172</f>
        <v>0</v>
      </c>
      <c r="BJ172" s="14">
        <f>G172*H172</f>
        <v>0</v>
      </c>
      <c r="BK172" s="14"/>
      <c r="BL172" s="14">
        <v>16</v>
      </c>
      <c r="BW172" s="14">
        <v>21</v>
      </c>
      <c r="BX172" s="3" t="s">
        <v>207</v>
      </c>
    </row>
    <row r="173" spans="1:76" x14ac:dyDescent="0.25">
      <c r="A173" s="60" t="s">
        <v>20</v>
      </c>
      <c r="B173" s="61" t="s">
        <v>56</v>
      </c>
      <c r="C173" s="61" t="s">
        <v>30</v>
      </c>
      <c r="D173" s="162" t="s">
        <v>31</v>
      </c>
      <c r="E173" s="163"/>
      <c r="F173" s="62" t="s">
        <v>13</v>
      </c>
      <c r="G173" s="62" t="s">
        <v>13</v>
      </c>
      <c r="H173" s="63" t="s">
        <v>13</v>
      </c>
      <c r="I173" s="43">
        <f>SUM(I174:I175)</f>
        <v>0</v>
      </c>
      <c r="K173" s="54"/>
      <c r="AI173" s="49" t="s">
        <v>56</v>
      </c>
      <c r="AS173" s="43">
        <f>SUM(AJ174:AJ175)</f>
        <v>0</v>
      </c>
      <c r="AT173" s="43">
        <f>SUM(AK174:AK175)</f>
        <v>0</v>
      </c>
      <c r="AU173" s="43">
        <f>SUM(AL174:AL175)</f>
        <v>0</v>
      </c>
    </row>
    <row r="174" spans="1:76" ht="25.5" x14ac:dyDescent="0.25">
      <c r="A174" s="1" t="s">
        <v>478</v>
      </c>
      <c r="B174" s="2" t="s">
        <v>56</v>
      </c>
      <c r="C174" s="2" t="s">
        <v>208</v>
      </c>
      <c r="D174" s="81" t="s">
        <v>209</v>
      </c>
      <c r="E174" s="74"/>
      <c r="F174" s="2" t="s">
        <v>190</v>
      </c>
      <c r="G174" s="14">
        <v>0.86399999999999999</v>
      </c>
      <c r="H174" s="64">
        <v>0</v>
      </c>
      <c r="I174" s="14">
        <f>G174*H174</f>
        <v>0</v>
      </c>
      <c r="K174" s="54"/>
      <c r="Z174" s="14">
        <f>IF(AQ174="5",BJ174,0)</f>
        <v>0</v>
      </c>
      <c r="AB174" s="14">
        <f>IF(AQ174="1",BH174,0)</f>
        <v>0</v>
      </c>
      <c r="AC174" s="14">
        <f>IF(AQ174="1",BI174,0)</f>
        <v>0</v>
      </c>
      <c r="AD174" s="14">
        <f>IF(AQ174="7",BH174,0)</f>
        <v>0</v>
      </c>
      <c r="AE174" s="14">
        <f>IF(AQ174="7",BI174,0)</f>
        <v>0</v>
      </c>
      <c r="AF174" s="14">
        <f>IF(AQ174="2",BH174,0)</f>
        <v>0</v>
      </c>
      <c r="AG174" s="14">
        <f>IF(AQ174="2",BI174,0)</f>
        <v>0</v>
      </c>
      <c r="AH174" s="14">
        <f>IF(AQ174="0",BJ174,0)</f>
        <v>0</v>
      </c>
      <c r="AI174" s="49" t="s">
        <v>56</v>
      </c>
      <c r="AJ174" s="14">
        <f>IF(AN174=0,I174,0)</f>
        <v>0</v>
      </c>
      <c r="AK174" s="14">
        <f>IF(AN174=12,I174,0)</f>
        <v>0</v>
      </c>
      <c r="AL174" s="14">
        <f>IF(AN174=21,I174,0)</f>
        <v>0</v>
      </c>
      <c r="AN174" s="14">
        <v>21</v>
      </c>
      <c r="AO174" s="14">
        <f>H174*0</f>
        <v>0</v>
      </c>
      <c r="AP174" s="14">
        <f>H174*(1-0)</f>
        <v>0</v>
      </c>
      <c r="AQ174" s="65" t="s">
        <v>168</v>
      </c>
      <c r="AV174" s="14">
        <f>AW174+AX174</f>
        <v>0</v>
      </c>
      <c r="AW174" s="14">
        <f>G174*AO174</f>
        <v>0</v>
      </c>
      <c r="AX174" s="14">
        <f>G174*AP174</f>
        <v>0</v>
      </c>
      <c r="AY174" s="65" t="s">
        <v>210</v>
      </c>
      <c r="AZ174" s="65" t="s">
        <v>471</v>
      </c>
      <c r="BA174" s="49" t="s">
        <v>472</v>
      </c>
      <c r="BC174" s="14">
        <f>AW174+AX174</f>
        <v>0</v>
      </c>
      <c r="BD174" s="14">
        <f>H174/(100-BE174)*100</f>
        <v>0</v>
      </c>
      <c r="BE174" s="14">
        <v>0</v>
      </c>
      <c r="BF174" s="14">
        <f>174</f>
        <v>174</v>
      </c>
      <c r="BH174" s="14">
        <f>G174*AO174</f>
        <v>0</v>
      </c>
      <c r="BI174" s="14">
        <f>G174*AP174</f>
        <v>0</v>
      </c>
      <c r="BJ174" s="14">
        <f>G174*H174</f>
        <v>0</v>
      </c>
      <c r="BK174" s="14"/>
      <c r="BL174" s="14">
        <v>17</v>
      </c>
      <c r="BW174" s="14">
        <v>21</v>
      </c>
      <c r="BX174" s="3" t="s">
        <v>209</v>
      </c>
    </row>
    <row r="175" spans="1:76" ht="25.5" x14ac:dyDescent="0.25">
      <c r="A175" s="1" t="s">
        <v>479</v>
      </c>
      <c r="B175" s="2" t="s">
        <v>56</v>
      </c>
      <c r="C175" s="2" t="s">
        <v>218</v>
      </c>
      <c r="D175" s="81" t="s">
        <v>219</v>
      </c>
      <c r="E175" s="74"/>
      <c r="F175" s="2" t="s">
        <v>217</v>
      </c>
      <c r="G175" s="14">
        <v>1.6419999999999999</v>
      </c>
      <c r="H175" s="64">
        <v>0</v>
      </c>
      <c r="I175" s="14">
        <f>G175*H175</f>
        <v>0</v>
      </c>
      <c r="K175" s="54"/>
      <c r="Z175" s="14">
        <f>IF(AQ175="5",BJ175,0)</f>
        <v>0</v>
      </c>
      <c r="AB175" s="14">
        <f>IF(AQ175="1",BH175,0)</f>
        <v>0</v>
      </c>
      <c r="AC175" s="14">
        <f>IF(AQ175="1",BI175,0)</f>
        <v>0</v>
      </c>
      <c r="AD175" s="14">
        <f>IF(AQ175="7",BH175,0)</f>
        <v>0</v>
      </c>
      <c r="AE175" s="14">
        <f>IF(AQ175="7",BI175,0)</f>
        <v>0</v>
      </c>
      <c r="AF175" s="14">
        <f>IF(AQ175="2",BH175,0)</f>
        <v>0</v>
      </c>
      <c r="AG175" s="14">
        <f>IF(AQ175="2",BI175,0)</f>
        <v>0</v>
      </c>
      <c r="AH175" s="14">
        <f>IF(AQ175="0",BJ175,0)</f>
        <v>0</v>
      </c>
      <c r="AI175" s="49" t="s">
        <v>56</v>
      </c>
      <c r="AJ175" s="14">
        <f>IF(AN175=0,I175,0)</f>
        <v>0</v>
      </c>
      <c r="AK175" s="14">
        <f>IF(AN175=12,I175,0)</f>
        <v>0</v>
      </c>
      <c r="AL175" s="14">
        <f>IF(AN175=21,I175,0)</f>
        <v>0</v>
      </c>
      <c r="AN175" s="14">
        <v>21</v>
      </c>
      <c r="AO175" s="14">
        <f>H175*0</f>
        <v>0</v>
      </c>
      <c r="AP175" s="14">
        <f>H175*(1-0)</f>
        <v>0</v>
      </c>
      <c r="AQ175" s="65" t="s">
        <v>168</v>
      </c>
      <c r="AV175" s="14">
        <f>AW175+AX175</f>
        <v>0</v>
      </c>
      <c r="AW175" s="14">
        <f>G175*AO175</f>
        <v>0</v>
      </c>
      <c r="AX175" s="14">
        <f>G175*AP175</f>
        <v>0</v>
      </c>
      <c r="AY175" s="65" t="s">
        <v>210</v>
      </c>
      <c r="AZ175" s="65" t="s">
        <v>471</v>
      </c>
      <c r="BA175" s="49" t="s">
        <v>472</v>
      </c>
      <c r="BC175" s="14">
        <f>AW175+AX175</f>
        <v>0</v>
      </c>
      <c r="BD175" s="14">
        <f>H175/(100-BE175)*100</f>
        <v>0</v>
      </c>
      <c r="BE175" s="14">
        <v>0</v>
      </c>
      <c r="BF175" s="14">
        <f>175</f>
        <v>175</v>
      </c>
      <c r="BH175" s="14">
        <f>G175*AO175</f>
        <v>0</v>
      </c>
      <c r="BI175" s="14">
        <f>G175*AP175</f>
        <v>0</v>
      </c>
      <c r="BJ175" s="14">
        <f>G175*H175</f>
        <v>0</v>
      </c>
      <c r="BK175" s="14"/>
      <c r="BL175" s="14">
        <v>17</v>
      </c>
      <c r="BW175" s="14">
        <v>21</v>
      </c>
      <c r="BX175" s="3" t="s">
        <v>219</v>
      </c>
    </row>
    <row r="176" spans="1:76" x14ac:dyDescent="0.25">
      <c r="A176" s="60" t="s">
        <v>20</v>
      </c>
      <c r="B176" s="61" t="s">
        <v>56</v>
      </c>
      <c r="C176" s="61" t="s">
        <v>57</v>
      </c>
      <c r="D176" s="162" t="s">
        <v>58</v>
      </c>
      <c r="E176" s="163"/>
      <c r="F176" s="62" t="s">
        <v>13</v>
      </c>
      <c r="G176" s="62" t="s">
        <v>13</v>
      </c>
      <c r="H176" s="63" t="s">
        <v>13</v>
      </c>
      <c r="I176" s="43">
        <f>SUM(I177:I177)</f>
        <v>0</v>
      </c>
      <c r="K176" s="54"/>
      <c r="AI176" s="49" t="s">
        <v>56</v>
      </c>
      <c r="AS176" s="43">
        <f>SUM(AJ177:AJ177)</f>
        <v>0</v>
      </c>
      <c r="AT176" s="43">
        <f>SUM(AK177:AK177)</f>
        <v>0</v>
      </c>
      <c r="AU176" s="43">
        <f>SUM(AL177:AL177)</f>
        <v>0</v>
      </c>
    </row>
    <row r="177" spans="1:76" x14ac:dyDescent="0.25">
      <c r="A177" s="1" t="s">
        <v>480</v>
      </c>
      <c r="B177" s="2" t="s">
        <v>56</v>
      </c>
      <c r="C177" s="2" t="s">
        <v>327</v>
      </c>
      <c r="D177" s="81" t="s">
        <v>328</v>
      </c>
      <c r="E177" s="74"/>
      <c r="F177" s="2" t="s">
        <v>190</v>
      </c>
      <c r="G177" s="14">
        <v>0.95</v>
      </c>
      <c r="H177" s="64">
        <v>0</v>
      </c>
      <c r="I177" s="14">
        <f>G177*H177</f>
        <v>0</v>
      </c>
      <c r="K177" s="54"/>
      <c r="Z177" s="14">
        <f>IF(AQ177="5",BJ177,0)</f>
        <v>0</v>
      </c>
      <c r="AB177" s="14">
        <f>IF(AQ177="1",BH177,0)</f>
        <v>0</v>
      </c>
      <c r="AC177" s="14">
        <f>IF(AQ177="1",BI177,0)</f>
        <v>0</v>
      </c>
      <c r="AD177" s="14">
        <f>IF(AQ177="7",BH177,0)</f>
        <v>0</v>
      </c>
      <c r="AE177" s="14">
        <f>IF(AQ177="7",BI177,0)</f>
        <v>0</v>
      </c>
      <c r="AF177" s="14">
        <f>IF(AQ177="2",BH177,0)</f>
        <v>0</v>
      </c>
      <c r="AG177" s="14">
        <f>IF(AQ177="2",BI177,0)</f>
        <v>0</v>
      </c>
      <c r="AH177" s="14">
        <f>IF(AQ177="0",BJ177,0)</f>
        <v>0</v>
      </c>
      <c r="AI177" s="49" t="s">
        <v>56</v>
      </c>
      <c r="AJ177" s="14">
        <f>IF(AN177=0,I177,0)</f>
        <v>0</v>
      </c>
      <c r="AK177" s="14">
        <f>IF(AN177=12,I177,0)</f>
        <v>0</v>
      </c>
      <c r="AL177" s="14">
        <f>IF(AN177=21,I177,0)</f>
        <v>0</v>
      </c>
      <c r="AN177" s="14">
        <v>21</v>
      </c>
      <c r="AO177" s="14">
        <f>H177*0</f>
        <v>0</v>
      </c>
      <c r="AP177" s="14">
        <f>H177*(1-0)</f>
        <v>0</v>
      </c>
      <c r="AQ177" s="65" t="s">
        <v>168</v>
      </c>
      <c r="AV177" s="14">
        <f>AW177+AX177</f>
        <v>0</v>
      </c>
      <c r="AW177" s="14">
        <f>G177*AO177</f>
        <v>0</v>
      </c>
      <c r="AX177" s="14">
        <f>G177*AP177</f>
        <v>0</v>
      </c>
      <c r="AY177" s="65" t="s">
        <v>481</v>
      </c>
      <c r="AZ177" s="65" t="s">
        <v>482</v>
      </c>
      <c r="BA177" s="49" t="s">
        <v>472</v>
      </c>
      <c r="BC177" s="14">
        <f>AW177+AX177</f>
        <v>0</v>
      </c>
      <c r="BD177" s="14">
        <f>H177/(100-BE177)*100</f>
        <v>0</v>
      </c>
      <c r="BE177" s="14">
        <v>0</v>
      </c>
      <c r="BF177" s="14">
        <f>177</f>
        <v>177</v>
      </c>
      <c r="BH177" s="14">
        <f>G177*AO177</f>
        <v>0</v>
      </c>
      <c r="BI177" s="14">
        <f>G177*AP177</f>
        <v>0</v>
      </c>
      <c r="BJ177" s="14">
        <f>G177*H177</f>
        <v>0</v>
      </c>
      <c r="BK177" s="14"/>
      <c r="BL177" s="14">
        <v>21</v>
      </c>
      <c r="BW177" s="14">
        <v>21</v>
      </c>
      <c r="BX177" s="3" t="s">
        <v>328</v>
      </c>
    </row>
    <row r="178" spans="1:76" x14ac:dyDescent="0.25">
      <c r="A178" s="60" t="s">
        <v>20</v>
      </c>
      <c r="B178" s="61" t="s">
        <v>56</v>
      </c>
      <c r="C178" s="61" t="s">
        <v>38</v>
      </c>
      <c r="D178" s="162" t="s">
        <v>39</v>
      </c>
      <c r="E178" s="163"/>
      <c r="F178" s="62" t="s">
        <v>13</v>
      </c>
      <c r="G178" s="62" t="s">
        <v>13</v>
      </c>
      <c r="H178" s="63" t="s">
        <v>13</v>
      </c>
      <c r="I178" s="43">
        <f>SUM(I179:I187)</f>
        <v>0</v>
      </c>
      <c r="K178" s="54"/>
      <c r="AI178" s="49" t="s">
        <v>56</v>
      </c>
      <c r="AS178" s="43">
        <f>SUM(AJ179:AJ187)</f>
        <v>0</v>
      </c>
      <c r="AT178" s="43">
        <f>SUM(AK179:AK187)</f>
        <v>0</v>
      </c>
      <c r="AU178" s="43">
        <f>SUM(AL179:AL187)</f>
        <v>0</v>
      </c>
    </row>
    <row r="179" spans="1:76" ht="25.5" x14ac:dyDescent="0.25">
      <c r="A179" s="1" t="s">
        <v>483</v>
      </c>
      <c r="B179" s="2" t="s">
        <v>56</v>
      </c>
      <c r="C179" s="2" t="s">
        <v>331</v>
      </c>
      <c r="D179" s="81" t="s">
        <v>332</v>
      </c>
      <c r="E179" s="74"/>
      <c r="F179" s="2" t="s">
        <v>333</v>
      </c>
      <c r="G179" s="14">
        <v>3</v>
      </c>
      <c r="H179" s="64">
        <v>0</v>
      </c>
      <c r="I179" s="14">
        <f t="shared" ref="I179:I187" si="148">G179*H179</f>
        <v>0</v>
      </c>
      <c r="K179" s="54"/>
      <c r="Z179" s="14">
        <f t="shared" ref="Z179:Z187" si="149">IF(AQ179="5",BJ179,0)</f>
        <v>0</v>
      </c>
      <c r="AB179" s="14">
        <f t="shared" ref="AB179:AB187" si="150">IF(AQ179="1",BH179,0)</f>
        <v>0</v>
      </c>
      <c r="AC179" s="14">
        <f t="shared" ref="AC179:AC187" si="151">IF(AQ179="1",BI179,0)</f>
        <v>0</v>
      </c>
      <c r="AD179" s="14">
        <f t="shared" ref="AD179:AD187" si="152">IF(AQ179="7",BH179,0)</f>
        <v>0</v>
      </c>
      <c r="AE179" s="14">
        <f t="shared" ref="AE179:AE187" si="153">IF(AQ179="7",BI179,0)</f>
        <v>0</v>
      </c>
      <c r="AF179" s="14">
        <f t="shared" ref="AF179:AF187" si="154">IF(AQ179="2",BH179,0)</f>
        <v>0</v>
      </c>
      <c r="AG179" s="14">
        <f t="shared" ref="AG179:AG187" si="155">IF(AQ179="2",BI179,0)</f>
        <v>0</v>
      </c>
      <c r="AH179" s="14">
        <f t="shared" ref="AH179:AH187" si="156">IF(AQ179="0",BJ179,0)</f>
        <v>0</v>
      </c>
      <c r="AI179" s="49" t="s">
        <v>56</v>
      </c>
      <c r="AJ179" s="14">
        <f t="shared" ref="AJ179:AJ187" si="157">IF(AN179=0,I179,0)</f>
        <v>0</v>
      </c>
      <c r="AK179" s="14">
        <f t="shared" ref="AK179:AK187" si="158">IF(AN179=12,I179,0)</f>
        <v>0</v>
      </c>
      <c r="AL179" s="14">
        <f t="shared" ref="AL179:AL187" si="159">IF(AN179=21,I179,0)</f>
        <v>0</v>
      </c>
      <c r="AN179" s="14">
        <v>21</v>
      </c>
      <c r="AO179" s="14">
        <f>H179*0</f>
        <v>0</v>
      </c>
      <c r="AP179" s="14">
        <f>H179*(1-0)</f>
        <v>0</v>
      </c>
      <c r="AQ179" s="65" t="s">
        <v>168</v>
      </c>
      <c r="AV179" s="14">
        <f t="shared" ref="AV179:AV187" si="160">AW179+AX179</f>
        <v>0</v>
      </c>
      <c r="AW179" s="14">
        <f t="shared" ref="AW179:AW187" si="161">G179*AO179</f>
        <v>0</v>
      </c>
      <c r="AX179" s="14">
        <f t="shared" ref="AX179:AX187" si="162">G179*AP179</f>
        <v>0</v>
      </c>
      <c r="AY179" s="65" t="s">
        <v>265</v>
      </c>
      <c r="AZ179" s="65" t="s">
        <v>484</v>
      </c>
      <c r="BA179" s="49" t="s">
        <v>472</v>
      </c>
      <c r="BC179" s="14">
        <f t="shared" ref="BC179:BC187" si="163">AW179+AX179</f>
        <v>0</v>
      </c>
      <c r="BD179" s="14">
        <f t="shared" ref="BD179:BD187" si="164">H179/(100-BE179)*100</f>
        <v>0</v>
      </c>
      <c r="BE179" s="14">
        <v>0</v>
      </c>
      <c r="BF179" s="14">
        <f>179</f>
        <v>179</v>
      </c>
      <c r="BH179" s="14">
        <f t="shared" ref="BH179:BH187" si="165">G179*AO179</f>
        <v>0</v>
      </c>
      <c r="BI179" s="14">
        <f t="shared" ref="BI179:BI187" si="166">G179*AP179</f>
        <v>0</v>
      </c>
      <c r="BJ179" s="14">
        <f t="shared" ref="BJ179:BJ187" si="167">G179*H179</f>
        <v>0</v>
      </c>
      <c r="BK179" s="14"/>
      <c r="BL179" s="14">
        <v>91</v>
      </c>
      <c r="BW179" s="14">
        <v>21</v>
      </c>
      <c r="BX179" s="3" t="s">
        <v>332</v>
      </c>
    </row>
    <row r="180" spans="1:76" x14ac:dyDescent="0.25">
      <c r="A180" s="1" t="s">
        <v>485</v>
      </c>
      <c r="B180" s="2" t="s">
        <v>56</v>
      </c>
      <c r="C180" s="2" t="s">
        <v>486</v>
      </c>
      <c r="D180" s="81" t="s">
        <v>487</v>
      </c>
      <c r="E180" s="74"/>
      <c r="F180" s="2" t="s">
        <v>333</v>
      </c>
      <c r="G180" s="14">
        <v>3</v>
      </c>
      <c r="H180" s="64">
        <v>0</v>
      </c>
      <c r="I180" s="14">
        <f t="shared" si="148"/>
        <v>0</v>
      </c>
      <c r="K180" s="54"/>
      <c r="Z180" s="14">
        <f t="shared" si="149"/>
        <v>0</v>
      </c>
      <c r="AB180" s="14">
        <f t="shared" si="150"/>
        <v>0</v>
      </c>
      <c r="AC180" s="14">
        <f t="shared" si="151"/>
        <v>0</v>
      </c>
      <c r="AD180" s="14">
        <f t="shared" si="152"/>
        <v>0</v>
      </c>
      <c r="AE180" s="14">
        <f t="shared" si="153"/>
        <v>0</v>
      </c>
      <c r="AF180" s="14">
        <f t="shared" si="154"/>
        <v>0</v>
      </c>
      <c r="AG180" s="14">
        <f t="shared" si="155"/>
        <v>0</v>
      </c>
      <c r="AH180" s="14">
        <f t="shared" si="156"/>
        <v>0</v>
      </c>
      <c r="AI180" s="49" t="s">
        <v>56</v>
      </c>
      <c r="AJ180" s="14">
        <f t="shared" si="157"/>
        <v>0</v>
      </c>
      <c r="AK180" s="14">
        <f t="shared" si="158"/>
        <v>0</v>
      </c>
      <c r="AL180" s="14">
        <f t="shared" si="159"/>
        <v>0</v>
      </c>
      <c r="AN180" s="14">
        <v>21</v>
      </c>
      <c r="AO180" s="14">
        <f>H180*0</f>
        <v>0</v>
      </c>
      <c r="AP180" s="14">
        <f>H180*(1-0)</f>
        <v>0</v>
      </c>
      <c r="AQ180" s="65" t="s">
        <v>168</v>
      </c>
      <c r="AV180" s="14">
        <f t="shared" si="160"/>
        <v>0</v>
      </c>
      <c r="AW180" s="14">
        <f t="shared" si="161"/>
        <v>0</v>
      </c>
      <c r="AX180" s="14">
        <f t="shared" si="162"/>
        <v>0</v>
      </c>
      <c r="AY180" s="65" t="s">
        <v>265</v>
      </c>
      <c r="AZ180" s="65" t="s">
        <v>484</v>
      </c>
      <c r="BA180" s="49" t="s">
        <v>472</v>
      </c>
      <c r="BC180" s="14">
        <f t="shared" si="163"/>
        <v>0</v>
      </c>
      <c r="BD180" s="14">
        <f t="shared" si="164"/>
        <v>0</v>
      </c>
      <c r="BE180" s="14">
        <v>0</v>
      </c>
      <c r="BF180" s="14">
        <f>180</f>
        <v>180</v>
      </c>
      <c r="BH180" s="14">
        <f t="shared" si="165"/>
        <v>0</v>
      </c>
      <c r="BI180" s="14">
        <f t="shared" si="166"/>
        <v>0</v>
      </c>
      <c r="BJ180" s="14">
        <f t="shared" si="167"/>
        <v>0</v>
      </c>
      <c r="BK180" s="14"/>
      <c r="BL180" s="14">
        <v>91</v>
      </c>
      <c r="BW180" s="14">
        <v>21</v>
      </c>
      <c r="BX180" s="3" t="s">
        <v>487</v>
      </c>
    </row>
    <row r="181" spans="1:76" ht="25.5" x14ac:dyDescent="0.25">
      <c r="A181" s="1" t="s">
        <v>488</v>
      </c>
      <c r="B181" s="2" t="s">
        <v>56</v>
      </c>
      <c r="C181" s="2" t="s">
        <v>338</v>
      </c>
      <c r="D181" s="81" t="s">
        <v>339</v>
      </c>
      <c r="E181" s="74"/>
      <c r="F181" s="2" t="s">
        <v>333</v>
      </c>
      <c r="G181" s="14">
        <v>3</v>
      </c>
      <c r="H181" s="64">
        <v>0</v>
      </c>
      <c r="I181" s="14">
        <f t="shared" si="148"/>
        <v>0</v>
      </c>
      <c r="K181" s="54"/>
      <c r="Z181" s="14">
        <f t="shared" si="149"/>
        <v>0</v>
      </c>
      <c r="AB181" s="14">
        <f t="shared" si="150"/>
        <v>0</v>
      </c>
      <c r="AC181" s="14">
        <f t="shared" si="151"/>
        <v>0</v>
      </c>
      <c r="AD181" s="14">
        <f t="shared" si="152"/>
        <v>0</v>
      </c>
      <c r="AE181" s="14">
        <f t="shared" si="153"/>
        <v>0</v>
      </c>
      <c r="AF181" s="14">
        <f t="shared" si="154"/>
        <v>0</v>
      </c>
      <c r="AG181" s="14">
        <f t="shared" si="155"/>
        <v>0</v>
      </c>
      <c r="AH181" s="14">
        <f t="shared" si="156"/>
        <v>0</v>
      </c>
      <c r="AI181" s="49" t="s">
        <v>56</v>
      </c>
      <c r="AJ181" s="14">
        <f t="shared" si="157"/>
        <v>0</v>
      </c>
      <c r="AK181" s="14">
        <f t="shared" si="158"/>
        <v>0</v>
      </c>
      <c r="AL181" s="14">
        <f t="shared" si="159"/>
        <v>0</v>
      </c>
      <c r="AN181" s="14">
        <v>21</v>
      </c>
      <c r="AO181" s="14">
        <f>H181*0</f>
        <v>0</v>
      </c>
      <c r="AP181" s="14">
        <f>H181*(1-0)</f>
        <v>0</v>
      </c>
      <c r="AQ181" s="65" t="s">
        <v>168</v>
      </c>
      <c r="AV181" s="14">
        <f t="shared" si="160"/>
        <v>0</v>
      </c>
      <c r="AW181" s="14">
        <f t="shared" si="161"/>
        <v>0</v>
      </c>
      <c r="AX181" s="14">
        <f t="shared" si="162"/>
        <v>0</v>
      </c>
      <c r="AY181" s="65" t="s">
        <v>265</v>
      </c>
      <c r="AZ181" s="65" t="s">
        <v>484</v>
      </c>
      <c r="BA181" s="49" t="s">
        <v>472</v>
      </c>
      <c r="BC181" s="14">
        <f t="shared" si="163"/>
        <v>0</v>
      </c>
      <c r="BD181" s="14">
        <f t="shared" si="164"/>
        <v>0</v>
      </c>
      <c r="BE181" s="14">
        <v>0</v>
      </c>
      <c r="BF181" s="14">
        <f>181</f>
        <v>181</v>
      </c>
      <c r="BH181" s="14">
        <f t="shared" si="165"/>
        <v>0</v>
      </c>
      <c r="BI181" s="14">
        <f t="shared" si="166"/>
        <v>0</v>
      </c>
      <c r="BJ181" s="14">
        <f t="shared" si="167"/>
        <v>0</v>
      </c>
      <c r="BK181" s="14"/>
      <c r="BL181" s="14">
        <v>91</v>
      </c>
      <c r="BW181" s="14">
        <v>21</v>
      </c>
      <c r="BX181" s="3" t="s">
        <v>339</v>
      </c>
    </row>
    <row r="182" spans="1:76" x14ac:dyDescent="0.25">
      <c r="A182" s="1" t="s">
        <v>489</v>
      </c>
      <c r="B182" s="2" t="s">
        <v>56</v>
      </c>
      <c r="C182" s="2" t="s">
        <v>343</v>
      </c>
      <c r="D182" s="81" t="s">
        <v>344</v>
      </c>
      <c r="E182" s="74"/>
      <c r="F182" s="2" t="s">
        <v>333</v>
      </c>
      <c r="G182" s="14">
        <v>6</v>
      </c>
      <c r="H182" s="64">
        <v>0</v>
      </c>
      <c r="I182" s="14">
        <f t="shared" si="148"/>
        <v>0</v>
      </c>
      <c r="K182" s="54"/>
      <c r="Z182" s="14">
        <f t="shared" si="149"/>
        <v>0</v>
      </c>
      <c r="AB182" s="14">
        <f t="shared" si="150"/>
        <v>0</v>
      </c>
      <c r="AC182" s="14">
        <f t="shared" si="151"/>
        <v>0</v>
      </c>
      <c r="AD182" s="14">
        <f t="shared" si="152"/>
        <v>0</v>
      </c>
      <c r="AE182" s="14">
        <f t="shared" si="153"/>
        <v>0</v>
      </c>
      <c r="AF182" s="14">
        <f t="shared" si="154"/>
        <v>0</v>
      </c>
      <c r="AG182" s="14">
        <f t="shared" si="155"/>
        <v>0</v>
      </c>
      <c r="AH182" s="14">
        <f t="shared" si="156"/>
        <v>0</v>
      </c>
      <c r="AI182" s="49" t="s">
        <v>56</v>
      </c>
      <c r="AJ182" s="14">
        <f t="shared" si="157"/>
        <v>0</v>
      </c>
      <c r="AK182" s="14">
        <f t="shared" si="158"/>
        <v>0</v>
      </c>
      <c r="AL182" s="14">
        <f t="shared" si="159"/>
        <v>0</v>
      </c>
      <c r="AN182" s="14">
        <v>21</v>
      </c>
      <c r="AO182" s="14">
        <f>H182*1</f>
        <v>0</v>
      </c>
      <c r="AP182" s="14">
        <f>H182*(1-1)</f>
        <v>0</v>
      </c>
      <c r="AQ182" s="65" t="s">
        <v>168</v>
      </c>
      <c r="AV182" s="14">
        <f t="shared" si="160"/>
        <v>0</v>
      </c>
      <c r="AW182" s="14">
        <f t="shared" si="161"/>
        <v>0</v>
      </c>
      <c r="AX182" s="14">
        <f t="shared" si="162"/>
        <v>0</v>
      </c>
      <c r="AY182" s="65" t="s">
        <v>265</v>
      </c>
      <c r="AZ182" s="65" t="s">
        <v>484</v>
      </c>
      <c r="BA182" s="49" t="s">
        <v>472</v>
      </c>
      <c r="BC182" s="14">
        <f t="shared" si="163"/>
        <v>0</v>
      </c>
      <c r="BD182" s="14">
        <f t="shared" si="164"/>
        <v>0</v>
      </c>
      <c r="BE182" s="14">
        <v>0</v>
      </c>
      <c r="BF182" s="14">
        <f>182</f>
        <v>182</v>
      </c>
      <c r="BH182" s="14">
        <f t="shared" si="165"/>
        <v>0</v>
      </c>
      <c r="BI182" s="14">
        <f t="shared" si="166"/>
        <v>0</v>
      </c>
      <c r="BJ182" s="14">
        <f t="shared" si="167"/>
        <v>0</v>
      </c>
      <c r="BK182" s="14"/>
      <c r="BL182" s="14">
        <v>91</v>
      </c>
      <c r="BW182" s="14">
        <v>21</v>
      </c>
      <c r="BX182" s="3" t="s">
        <v>344</v>
      </c>
    </row>
    <row r="183" spans="1:76" x14ac:dyDescent="0.25">
      <c r="A183" s="1" t="s">
        <v>490</v>
      </c>
      <c r="B183" s="2" t="s">
        <v>56</v>
      </c>
      <c r="C183" s="2" t="s">
        <v>345</v>
      </c>
      <c r="D183" s="81" t="s">
        <v>346</v>
      </c>
      <c r="E183" s="74"/>
      <c r="F183" s="2" t="s">
        <v>333</v>
      </c>
      <c r="G183" s="14">
        <v>3</v>
      </c>
      <c r="H183" s="64">
        <v>0</v>
      </c>
      <c r="I183" s="14">
        <f t="shared" si="148"/>
        <v>0</v>
      </c>
      <c r="K183" s="54"/>
      <c r="Z183" s="14">
        <f t="shared" si="149"/>
        <v>0</v>
      </c>
      <c r="AB183" s="14">
        <f t="shared" si="150"/>
        <v>0</v>
      </c>
      <c r="AC183" s="14">
        <f t="shared" si="151"/>
        <v>0</v>
      </c>
      <c r="AD183" s="14">
        <f t="shared" si="152"/>
        <v>0</v>
      </c>
      <c r="AE183" s="14">
        <f t="shared" si="153"/>
        <v>0</v>
      </c>
      <c r="AF183" s="14">
        <f t="shared" si="154"/>
        <v>0</v>
      </c>
      <c r="AG183" s="14">
        <f t="shared" si="155"/>
        <v>0</v>
      </c>
      <c r="AH183" s="14">
        <f t="shared" si="156"/>
        <v>0</v>
      </c>
      <c r="AI183" s="49" t="s">
        <v>56</v>
      </c>
      <c r="AJ183" s="14">
        <f t="shared" si="157"/>
        <v>0</v>
      </c>
      <c r="AK183" s="14">
        <f t="shared" si="158"/>
        <v>0</v>
      </c>
      <c r="AL183" s="14">
        <f t="shared" si="159"/>
        <v>0</v>
      </c>
      <c r="AN183" s="14">
        <v>21</v>
      </c>
      <c r="AO183" s="14">
        <f>H183*1</f>
        <v>0</v>
      </c>
      <c r="AP183" s="14">
        <f>H183*(1-1)</f>
        <v>0</v>
      </c>
      <c r="AQ183" s="65" t="s">
        <v>168</v>
      </c>
      <c r="AV183" s="14">
        <f t="shared" si="160"/>
        <v>0</v>
      </c>
      <c r="AW183" s="14">
        <f t="shared" si="161"/>
        <v>0</v>
      </c>
      <c r="AX183" s="14">
        <f t="shared" si="162"/>
        <v>0</v>
      </c>
      <c r="AY183" s="65" t="s">
        <v>265</v>
      </c>
      <c r="AZ183" s="65" t="s">
        <v>484</v>
      </c>
      <c r="BA183" s="49" t="s">
        <v>472</v>
      </c>
      <c r="BC183" s="14">
        <f t="shared" si="163"/>
        <v>0</v>
      </c>
      <c r="BD183" s="14">
        <f t="shared" si="164"/>
        <v>0</v>
      </c>
      <c r="BE183" s="14">
        <v>0</v>
      </c>
      <c r="BF183" s="14">
        <f>183</f>
        <v>183</v>
      </c>
      <c r="BH183" s="14">
        <f t="shared" si="165"/>
        <v>0</v>
      </c>
      <c r="BI183" s="14">
        <f t="shared" si="166"/>
        <v>0</v>
      </c>
      <c r="BJ183" s="14">
        <f t="shared" si="167"/>
        <v>0</v>
      </c>
      <c r="BK183" s="14"/>
      <c r="BL183" s="14">
        <v>91</v>
      </c>
      <c r="BW183" s="14">
        <v>21</v>
      </c>
      <c r="BX183" s="3" t="s">
        <v>346</v>
      </c>
    </row>
    <row r="184" spans="1:76" x14ac:dyDescent="0.25">
      <c r="A184" s="1" t="s">
        <v>491</v>
      </c>
      <c r="B184" s="2" t="s">
        <v>56</v>
      </c>
      <c r="C184" s="2" t="s">
        <v>348</v>
      </c>
      <c r="D184" s="81" t="s">
        <v>349</v>
      </c>
      <c r="E184" s="74"/>
      <c r="F184" s="2" t="s">
        <v>333</v>
      </c>
      <c r="G184" s="14">
        <v>3</v>
      </c>
      <c r="H184" s="64">
        <v>0</v>
      </c>
      <c r="I184" s="14">
        <f t="shared" si="148"/>
        <v>0</v>
      </c>
      <c r="K184" s="54"/>
      <c r="Z184" s="14">
        <f t="shared" si="149"/>
        <v>0</v>
      </c>
      <c r="AB184" s="14">
        <f t="shared" si="150"/>
        <v>0</v>
      </c>
      <c r="AC184" s="14">
        <f t="shared" si="151"/>
        <v>0</v>
      </c>
      <c r="AD184" s="14">
        <f t="shared" si="152"/>
        <v>0</v>
      </c>
      <c r="AE184" s="14">
        <f t="shared" si="153"/>
        <v>0</v>
      </c>
      <c r="AF184" s="14">
        <f t="shared" si="154"/>
        <v>0</v>
      </c>
      <c r="AG184" s="14">
        <f t="shared" si="155"/>
        <v>0</v>
      </c>
      <c r="AH184" s="14">
        <f t="shared" si="156"/>
        <v>0</v>
      </c>
      <c r="AI184" s="49" t="s">
        <v>56</v>
      </c>
      <c r="AJ184" s="14">
        <f t="shared" si="157"/>
        <v>0</v>
      </c>
      <c r="AK184" s="14">
        <f t="shared" si="158"/>
        <v>0</v>
      </c>
      <c r="AL184" s="14">
        <f t="shared" si="159"/>
        <v>0</v>
      </c>
      <c r="AN184" s="14">
        <v>21</v>
      </c>
      <c r="AO184" s="14">
        <f>H184*1</f>
        <v>0</v>
      </c>
      <c r="AP184" s="14">
        <f>H184*(1-1)</f>
        <v>0</v>
      </c>
      <c r="AQ184" s="65" t="s">
        <v>168</v>
      </c>
      <c r="AV184" s="14">
        <f t="shared" si="160"/>
        <v>0</v>
      </c>
      <c r="AW184" s="14">
        <f t="shared" si="161"/>
        <v>0</v>
      </c>
      <c r="AX184" s="14">
        <f t="shared" si="162"/>
        <v>0</v>
      </c>
      <c r="AY184" s="65" t="s">
        <v>265</v>
      </c>
      <c r="AZ184" s="65" t="s">
        <v>484</v>
      </c>
      <c r="BA184" s="49" t="s">
        <v>472</v>
      </c>
      <c r="BC184" s="14">
        <f t="shared" si="163"/>
        <v>0</v>
      </c>
      <c r="BD184" s="14">
        <f t="shared" si="164"/>
        <v>0</v>
      </c>
      <c r="BE184" s="14">
        <v>0</v>
      </c>
      <c r="BF184" s="14">
        <f>184</f>
        <v>184</v>
      </c>
      <c r="BH184" s="14">
        <f t="shared" si="165"/>
        <v>0</v>
      </c>
      <c r="BI184" s="14">
        <f t="shared" si="166"/>
        <v>0</v>
      </c>
      <c r="BJ184" s="14">
        <f t="shared" si="167"/>
        <v>0</v>
      </c>
      <c r="BK184" s="14"/>
      <c r="BL184" s="14">
        <v>91</v>
      </c>
      <c r="BW184" s="14">
        <v>21</v>
      </c>
      <c r="BX184" s="3" t="s">
        <v>349</v>
      </c>
    </row>
    <row r="185" spans="1:76" x14ac:dyDescent="0.25">
      <c r="A185" s="1" t="s">
        <v>492</v>
      </c>
      <c r="B185" s="2" t="s">
        <v>56</v>
      </c>
      <c r="C185" s="2" t="s">
        <v>340</v>
      </c>
      <c r="D185" s="81" t="s">
        <v>341</v>
      </c>
      <c r="E185" s="74"/>
      <c r="F185" s="2" t="s">
        <v>333</v>
      </c>
      <c r="G185" s="14">
        <v>3</v>
      </c>
      <c r="H185" s="64">
        <v>0</v>
      </c>
      <c r="I185" s="14">
        <f t="shared" si="148"/>
        <v>0</v>
      </c>
      <c r="K185" s="54"/>
      <c r="Z185" s="14">
        <f t="shared" si="149"/>
        <v>0</v>
      </c>
      <c r="AB185" s="14">
        <f t="shared" si="150"/>
        <v>0</v>
      </c>
      <c r="AC185" s="14">
        <f t="shared" si="151"/>
        <v>0</v>
      </c>
      <c r="AD185" s="14">
        <f t="shared" si="152"/>
        <v>0</v>
      </c>
      <c r="AE185" s="14">
        <f t="shared" si="153"/>
        <v>0</v>
      </c>
      <c r="AF185" s="14">
        <f t="shared" si="154"/>
        <v>0</v>
      </c>
      <c r="AG185" s="14">
        <f t="shared" si="155"/>
        <v>0</v>
      </c>
      <c r="AH185" s="14">
        <f t="shared" si="156"/>
        <v>0</v>
      </c>
      <c r="AI185" s="49" t="s">
        <v>56</v>
      </c>
      <c r="AJ185" s="14">
        <f t="shared" si="157"/>
        <v>0</v>
      </c>
      <c r="AK185" s="14">
        <f t="shared" si="158"/>
        <v>0</v>
      </c>
      <c r="AL185" s="14">
        <f t="shared" si="159"/>
        <v>0</v>
      </c>
      <c r="AN185" s="14">
        <v>21</v>
      </c>
      <c r="AO185" s="14">
        <f>H185*0</f>
        <v>0</v>
      </c>
      <c r="AP185" s="14">
        <f>H185*(1-0)</f>
        <v>0</v>
      </c>
      <c r="AQ185" s="65" t="s">
        <v>168</v>
      </c>
      <c r="AV185" s="14">
        <f t="shared" si="160"/>
        <v>0</v>
      </c>
      <c r="AW185" s="14">
        <f t="shared" si="161"/>
        <v>0</v>
      </c>
      <c r="AX185" s="14">
        <f t="shared" si="162"/>
        <v>0</v>
      </c>
      <c r="AY185" s="65" t="s">
        <v>265</v>
      </c>
      <c r="AZ185" s="65" t="s">
        <v>484</v>
      </c>
      <c r="BA185" s="49" t="s">
        <v>472</v>
      </c>
      <c r="BC185" s="14">
        <f t="shared" si="163"/>
        <v>0</v>
      </c>
      <c r="BD185" s="14">
        <f t="shared" si="164"/>
        <v>0</v>
      </c>
      <c r="BE185" s="14">
        <v>0</v>
      </c>
      <c r="BF185" s="14">
        <f>185</f>
        <v>185</v>
      </c>
      <c r="BH185" s="14">
        <f t="shared" si="165"/>
        <v>0</v>
      </c>
      <c r="BI185" s="14">
        <f t="shared" si="166"/>
        <v>0</v>
      </c>
      <c r="BJ185" s="14">
        <f t="shared" si="167"/>
        <v>0</v>
      </c>
      <c r="BK185" s="14"/>
      <c r="BL185" s="14">
        <v>91</v>
      </c>
      <c r="BW185" s="14">
        <v>21</v>
      </c>
      <c r="BX185" s="3" t="s">
        <v>341</v>
      </c>
    </row>
    <row r="186" spans="1:76" ht="25.5" x14ac:dyDescent="0.25">
      <c r="A186" s="1" t="s">
        <v>493</v>
      </c>
      <c r="B186" s="2" t="s">
        <v>56</v>
      </c>
      <c r="C186" s="2" t="s">
        <v>494</v>
      </c>
      <c r="D186" s="81" t="s">
        <v>495</v>
      </c>
      <c r="E186" s="74"/>
      <c r="F186" s="2" t="s">
        <v>264</v>
      </c>
      <c r="G186" s="14">
        <v>2</v>
      </c>
      <c r="H186" s="64">
        <v>0</v>
      </c>
      <c r="I186" s="14">
        <f t="shared" si="148"/>
        <v>0</v>
      </c>
      <c r="K186" s="54"/>
      <c r="Z186" s="14">
        <f t="shared" si="149"/>
        <v>0</v>
      </c>
      <c r="AB186" s="14">
        <f t="shared" si="150"/>
        <v>0</v>
      </c>
      <c r="AC186" s="14">
        <f t="shared" si="151"/>
        <v>0</v>
      </c>
      <c r="AD186" s="14">
        <f t="shared" si="152"/>
        <v>0</v>
      </c>
      <c r="AE186" s="14">
        <f t="shared" si="153"/>
        <v>0</v>
      </c>
      <c r="AF186" s="14">
        <f t="shared" si="154"/>
        <v>0</v>
      </c>
      <c r="AG186" s="14">
        <f t="shared" si="155"/>
        <v>0</v>
      </c>
      <c r="AH186" s="14">
        <f t="shared" si="156"/>
        <v>0</v>
      </c>
      <c r="AI186" s="49" t="s">
        <v>56</v>
      </c>
      <c r="AJ186" s="14">
        <f t="shared" si="157"/>
        <v>0</v>
      </c>
      <c r="AK186" s="14">
        <f t="shared" si="158"/>
        <v>0</v>
      </c>
      <c r="AL186" s="14">
        <f t="shared" si="159"/>
        <v>0</v>
      </c>
      <c r="AN186" s="14">
        <v>21</v>
      </c>
      <c r="AO186" s="14">
        <f>H186*0</f>
        <v>0</v>
      </c>
      <c r="AP186" s="14">
        <f>H186*(1-0)</f>
        <v>0</v>
      </c>
      <c r="AQ186" s="65" t="s">
        <v>168</v>
      </c>
      <c r="AV186" s="14">
        <f t="shared" si="160"/>
        <v>0</v>
      </c>
      <c r="AW186" s="14">
        <f t="shared" si="161"/>
        <v>0</v>
      </c>
      <c r="AX186" s="14">
        <f t="shared" si="162"/>
        <v>0</v>
      </c>
      <c r="AY186" s="65" t="s">
        <v>265</v>
      </c>
      <c r="AZ186" s="65" t="s">
        <v>484</v>
      </c>
      <c r="BA186" s="49" t="s">
        <v>472</v>
      </c>
      <c r="BC186" s="14">
        <f t="shared" si="163"/>
        <v>0</v>
      </c>
      <c r="BD186" s="14">
        <f t="shared" si="164"/>
        <v>0</v>
      </c>
      <c r="BE186" s="14">
        <v>0</v>
      </c>
      <c r="BF186" s="14">
        <f>186</f>
        <v>186</v>
      </c>
      <c r="BH186" s="14">
        <f t="shared" si="165"/>
        <v>0</v>
      </c>
      <c r="BI186" s="14">
        <f t="shared" si="166"/>
        <v>0</v>
      </c>
      <c r="BJ186" s="14">
        <f t="shared" si="167"/>
        <v>0</v>
      </c>
      <c r="BK186" s="14"/>
      <c r="BL186" s="14">
        <v>91</v>
      </c>
      <c r="BW186" s="14">
        <v>21</v>
      </c>
      <c r="BX186" s="3" t="s">
        <v>495</v>
      </c>
    </row>
    <row r="187" spans="1:76" ht="25.5" x14ac:dyDescent="0.25">
      <c r="A187" s="1" t="s">
        <v>496</v>
      </c>
      <c r="B187" s="2" t="s">
        <v>56</v>
      </c>
      <c r="C187" s="2" t="s">
        <v>354</v>
      </c>
      <c r="D187" s="81" t="s">
        <v>355</v>
      </c>
      <c r="E187" s="74"/>
      <c r="F187" s="2" t="s">
        <v>171</v>
      </c>
      <c r="G187" s="14">
        <v>4</v>
      </c>
      <c r="H187" s="64">
        <v>0</v>
      </c>
      <c r="I187" s="14">
        <f t="shared" si="148"/>
        <v>0</v>
      </c>
      <c r="K187" s="54"/>
      <c r="Z187" s="14">
        <f t="shared" si="149"/>
        <v>0</v>
      </c>
      <c r="AB187" s="14">
        <f t="shared" si="150"/>
        <v>0</v>
      </c>
      <c r="AC187" s="14">
        <f t="shared" si="151"/>
        <v>0</v>
      </c>
      <c r="AD187" s="14">
        <f t="shared" si="152"/>
        <v>0</v>
      </c>
      <c r="AE187" s="14">
        <f t="shared" si="153"/>
        <v>0</v>
      </c>
      <c r="AF187" s="14">
        <f t="shared" si="154"/>
        <v>0</v>
      </c>
      <c r="AG187" s="14">
        <f t="shared" si="155"/>
        <v>0</v>
      </c>
      <c r="AH187" s="14">
        <f t="shared" si="156"/>
        <v>0</v>
      </c>
      <c r="AI187" s="49" t="s">
        <v>56</v>
      </c>
      <c r="AJ187" s="14">
        <f t="shared" si="157"/>
        <v>0</v>
      </c>
      <c r="AK187" s="14">
        <f t="shared" si="158"/>
        <v>0</v>
      </c>
      <c r="AL187" s="14">
        <f t="shared" si="159"/>
        <v>0</v>
      </c>
      <c r="AN187" s="14">
        <v>21</v>
      </c>
      <c r="AO187" s="14">
        <f>H187*0</f>
        <v>0</v>
      </c>
      <c r="AP187" s="14">
        <f>H187*(1-0)</f>
        <v>0</v>
      </c>
      <c r="AQ187" s="65" t="s">
        <v>168</v>
      </c>
      <c r="AV187" s="14">
        <f t="shared" si="160"/>
        <v>0</v>
      </c>
      <c r="AW187" s="14">
        <f t="shared" si="161"/>
        <v>0</v>
      </c>
      <c r="AX187" s="14">
        <f t="shared" si="162"/>
        <v>0</v>
      </c>
      <c r="AY187" s="65" t="s">
        <v>265</v>
      </c>
      <c r="AZ187" s="65" t="s">
        <v>484</v>
      </c>
      <c r="BA187" s="49" t="s">
        <v>472</v>
      </c>
      <c r="BC187" s="14">
        <f t="shared" si="163"/>
        <v>0</v>
      </c>
      <c r="BD187" s="14">
        <f t="shared" si="164"/>
        <v>0</v>
      </c>
      <c r="BE187" s="14">
        <v>0</v>
      </c>
      <c r="BF187" s="14">
        <f>187</f>
        <v>187</v>
      </c>
      <c r="BH187" s="14">
        <f t="shared" si="165"/>
        <v>0</v>
      </c>
      <c r="BI187" s="14">
        <f t="shared" si="166"/>
        <v>0</v>
      </c>
      <c r="BJ187" s="14">
        <f t="shared" si="167"/>
        <v>0</v>
      </c>
      <c r="BK187" s="14"/>
      <c r="BL187" s="14">
        <v>91</v>
      </c>
      <c r="BW187" s="14">
        <v>21</v>
      </c>
      <c r="BX187" s="3" t="s">
        <v>355</v>
      </c>
    </row>
    <row r="188" spans="1:76" x14ac:dyDescent="0.25">
      <c r="A188" s="60" t="s">
        <v>20</v>
      </c>
      <c r="B188" s="61" t="s">
        <v>56</v>
      </c>
      <c r="C188" s="61" t="s">
        <v>48</v>
      </c>
      <c r="D188" s="162" t="s">
        <v>49</v>
      </c>
      <c r="E188" s="163"/>
      <c r="F188" s="62" t="s">
        <v>13</v>
      </c>
      <c r="G188" s="62" t="s">
        <v>13</v>
      </c>
      <c r="H188" s="63" t="s">
        <v>13</v>
      </c>
      <c r="I188" s="43">
        <f>SUM(I189:I191)</f>
        <v>0</v>
      </c>
      <c r="K188" s="54"/>
      <c r="AI188" s="49" t="s">
        <v>56</v>
      </c>
      <c r="AS188" s="43">
        <f>SUM(AJ189:AJ191)</f>
        <v>0</v>
      </c>
      <c r="AT188" s="43">
        <f>SUM(AK189:AK191)</f>
        <v>0</v>
      </c>
      <c r="AU188" s="43">
        <f>SUM(AL189:AL191)</f>
        <v>0</v>
      </c>
    </row>
    <row r="189" spans="1:76" x14ac:dyDescent="0.25">
      <c r="A189" s="1" t="s">
        <v>497</v>
      </c>
      <c r="B189" s="2" t="s">
        <v>56</v>
      </c>
      <c r="C189" s="2" t="s">
        <v>498</v>
      </c>
      <c r="D189" s="81" t="s">
        <v>499</v>
      </c>
      <c r="E189" s="74"/>
      <c r="F189" s="2" t="s">
        <v>190</v>
      </c>
      <c r="G189" s="14">
        <v>0.57599999999999996</v>
      </c>
      <c r="H189" s="64">
        <v>0</v>
      </c>
      <c r="I189" s="14">
        <f>G189*H189</f>
        <v>0</v>
      </c>
      <c r="K189" s="54"/>
      <c r="Z189" s="14">
        <f>IF(AQ189="5",BJ189,0)</f>
        <v>0</v>
      </c>
      <c r="AB189" s="14">
        <f>IF(AQ189="1",BH189,0)</f>
        <v>0</v>
      </c>
      <c r="AC189" s="14">
        <f>IF(AQ189="1",BI189,0)</f>
        <v>0</v>
      </c>
      <c r="AD189" s="14">
        <f>IF(AQ189="7",BH189,0)</f>
        <v>0</v>
      </c>
      <c r="AE189" s="14">
        <f>IF(AQ189="7",BI189,0)</f>
        <v>0</v>
      </c>
      <c r="AF189" s="14">
        <f>IF(AQ189="2",BH189,0)</f>
        <v>0</v>
      </c>
      <c r="AG189" s="14">
        <f>IF(AQ189="2",BI189,0)</f>
        <v>0</v>
      </c>
      <c r="AH189" s="14">
        <f>IF(AQ189="0",BJ189,0)</f>
        <v>0</v>
      </c>
      <c r="AI189" s="49" t="s">
        <v>56</v>
      </c>
      <c r="AJ189" s="14">
        <f>IF(AN189=0,I189,0)</f>
        <v>0</v>
      </c>
      <c r="AK189" s="14">
        <f>IF(AN189=12,I189,0)</f>
        <v>0</v>
      </c>
      <c r="AL189" s="14">
        <f>IF(AN189=21,I189,0)</f>
        <v>0</v>
      </c>
      <c r="AN189" s="14">
        <v>21</v>
      </c>
      <c r="AO189" s="14">
        <f>H189*0</f>
        <v>0</v>
      </c>
      <c r="AP189" s="14">
        <f>H189*(1-0)</f>
        <v>0</v>
      </c>
      <c r="AQ189" s="65" t="s">
        <v>168</v>
      </c>
      <c r="AV189" s="14">
        <f>AW189+AX189</f>
        <v>0</v>
      </c>
      <c r="AW189" s="14">
        <f>G189*AO189</f>
        <v>0</v>
      </c>
      <c r="AX189" s="14">
        <f>G189*AP189</f>
        <v>0</v>
      </c>
      <c r="AY189" s="65" t="s">
        <v>359</v>
      </c>
      <c r="AZ189" s="65" t="s">
        <v>484</v>
      </c>
      <c r="BA189" s="49" t="s">
        <v>472</v>
      </c>
      <c r="BC189" s="14">
        <f>AW189+AX189</f>
        <v>0</v>
      </c>
      <c r="BD189" s="14">
        <f>H189/(100-BE189)*100</f>
        <v>0</v>
      </c>
      <c r="BE189" s="14">
        <v>0</v>
      </c>
      <c r="BF189" s="14">
        <f>189</f>
        <v>189</v>
      </c>
      <c r="BH189" s="14">
        <f>G189*AO189</f>
        <v>0</v>
      </c>
      <c r="BI189" s="14">
        <f>G189*AP189</f>
        <v>0</v>
      </c>
      <c r="BJ189" s="14">
        <f>G189*H189</f>
        <v>0</v>
      </c>
      <c r="BK189" s="14"/>
      <c r="BL189" s="14">
        <v>96</v>
      </c>
      <c r="BW189" s="14">
        <v>21</v>
      </c>
      <c r="BX189" s="3" t="s">
        <v>499</v>
      </c>
    </row>
    <row r="190" spans="1:76" ht="25.5" x14ac:dyDescent="0.25">
      <c r="A190" s="1" t="s">
        <v>500</v>
      </c>
      <c r="B190" s="2" t="s">
        <v>56</v>
      </c>
      <c r="C190" s="2" t="s">
        <v>501</v>
      </c>
      <c r="D190" s="81" t="s">
        <v>502</v>
      </c>
      <c r="E190" s="74"/>
      <c r="F190" s="2" t="s">
        <v>333</v>
      </c>
      <c r="G190" s="14">
        <v>1</v>
      </c>
      <c r="H190" s="64">
        <v>0</v>
      </c>
      <c r="I190" s="14">
        <f>G190*H190</f>
        <v>0</v>
      </c>
      <c r="K190" s="54"/>
      <c r="Z190" s="14">
        <f>IF(AQ190="5",BJ190,0)</f>
        <v>0</v>
      </c>
      <c r="AB190" s="14">
        <f>IF(AQ190="1",BH190,0)</f>
        <v>0</v>
      </c>
      <c r="AC190" s="14">
        <f>IF(AQ190="1",BI190,0)</f>
        <v>0</v>
      </c>
      <c r="AD190" s="14">
        <f>IF(AQ190="7",BH190,0)</f>
        <v>0</v>
      </c>
      <c r="AE190" s="14">
        <f>IF(AQ190="7",BI190,0)</f>
        <v>0</v>
      </c>
      <c r="AF190" s="14">
        <f>IF(AQ190="2",BH190,0)</f>
        <v>0</v>
      </c>
      <c r="AG190" s="14">
        <f>IF(AQ190="2",BI190,0)</f>
        <v>0</v>
      </c>
      <c r="AH190" s="14">
        <f>IF(AQ190="0",BJ190,0)</f>
        <v>0</v>
      </c>
      <c r="AI190" s="49" t="s">
        <v>56</v>
      </c>
      <c r="AJ190" s="14">
        <f>IF(AN190=0,I190,0)</f>
        <v>0</v>
      </c>
      <c r="AK190" s="14">
        <f>IF(AN190=12,I190,0)</f>
        <v>0</v>
      </c>
      <c r="AL190" s="14">
        <f>IF(AN190=21,I190,0)</f>
        <v>0</v>
      </c>
      <c r="AN190" s="14">
        <v>21</v>
      </c>
      <c r="AO190" s="14">
        <f>H190*0</f>
        <v>0</v>
      </c>
      <c r="AP190" s="14">
        <f>H190*(1-0)</f>
        <v>0</v>
      </c>
      <c r="AQ190" s="65" t="s">
        <v>168</v>
      </c>
      <c r="AV190" s="14">
        <f>AW190+AX190</f>
        <v>0</v>
      </c>
      <c r="AW190" s="14">
        <f>G190*AO190</f>
        <v>0</v>
      </c>
      <c r="AX190" s="14">
        <f>G190*AP190</f>
        <v>0</v>
      </c>
      <c r="AY190" s="65" t="s">
        <v>359</v>
      </c>
      <c r="AZ190" s="65" t="s">
        <v>484</v>
      </c>
      <c r="BA190" s="49" t="s">
        <v>472</v>
      </c>
      <c r="BC190" s="14">
        <f>AW190+AX190</f>
        <v>0</v>
      </c>
      <c r="BD190" s="14">
        <f>H190/(100-BE190)*100</f>
        <v>0</v>
      </c>
      <c r="BE190" s="14">
        <v>0</v>
      </c>
      <c r="BF190" s="14">
        <f>190</f>
        <v>190</v>
      </c>
      <c r="BH190" s="14">
        <f>G190*AO190</f>
        <v>0</v>
      </c>
      <c r="BI190" s="14">
        <f>G190*AP190</f>
        <v>0</v>
      </c>
      <c r="BJ190" s="14">
        <f>G190*H190</f>
        <v>0</v>
      </c>
      <c r="BK190" s="14"/>
      <c r="BL190" s="14">
        <v>96</v>
      </c>
      <c r="BW190" s="14">
        <v>21</v>
      </c>
      <c r="BX190" s="3" t="s">
        <v>502</v>
      </c>
    </row>
    <row r="191" spans="1:76" ht="25.5" x14ac:dyDescent="0.25">
      <c r="A191" s="1" t="s">
        <v>503</v>
      </c>
      <c r="B191" s="2" t="s">
        <v>56</v>
      </c>
      <c r="C191" s="2" t="s">
        <v>504</v>
      </c>
      <c r="D191" s="81" t="s">
        <v>505</v>
      </c>
      <c r="E191" s="74"/>
      <c r="F191" s="2" t="s">
        <v>333</v>
      </c>
      <c r="G191" s="14">
        <v>1</v>
      </c>
      <c r="H191" s="64">
        <v>0</v>
      </c>
      <c r="I191" s="14">
        <f>G191*H191</f>
        <v>0</v>
      </c>
      <c r="K191" s="54"/>
      <c r="Z191" s="14">
        <f>IF(AQ191="5",BJ191,0)</f>
        <v>0</v>
      </c>
      <c r="AB191" s="14">
        <f>IF(AQ191="1",BH191,0)</f>
        <v>0</v>
      </c>
      <c r="AC191" s="14">
        <f>IF(AQ191="1",BI191,0)</f>
        <v>0</v>
      </c>
      <c r="AD191" s="14">
        <f>IF(AQ191="7",BH191,0)</f>
        <v>0</v>
      </c>
      <c r="AE191" s="14">
        <f>IF(AQ191="7",BI191,0)</f>
        <v>0</v>
      </c>
      <c r="AF191" s="14">
        <f>IF(AQ191="2",BH191,0)</f>
        <v>0</v>
      </c>
      <c r="AG191" s="14">
        <f>IF(AQ191="2",BI191,0)</f>
        <v>0</v>
      </c>
      <c r="AH191" s="14">
        <f>IF(AQ191="0",BJ191,0)</f>
        <v>0</v>
      </c>
      <c r="AI191" s="49" t="s">
        <v>56</v>
      </c>
      <c r="AJ191" s="14">
        <f>IF(AN191=0,I191,0)</f>
        <v>0</v>
      </c>
      <c r="AK191" s="14">
        <f>IF(AN191=12,I191,0)</f>
        <v>0</v>
      </c>
      <c r="AL191" s="14">
        <f>IF(AN191=21,I191,0)</f>
        <v>0</v>
      </c>
      <c r="AN191" s="14">
        <v>21</v>
      </c>
      <c r="AO191" s="14">
        <f>H191*0</f>
        <v>0</v>
      </c>
      <c r="AP191" s="14">
        <f>H191*(1-0)</f>
        <v>0</v>
      </c>
      <c r="AQ191" s="65" t="s">
        <v>168</v>
      </c>
      <c r="AV191" s="14">
        <f>AW191+AX191</f>
        <v>0</v>
      </c>
      <c r="AW191" s="14">
        <f>G191*AO191</f>
        <v>0</v>
      </c>
      <c r="AX191" s="14">
        <f>G191*AP191</f>
        <v>0</v>
      </c>
      <c r="AY191" s="65" t="s">
        <v>359</v>
      </c>
      <c r="AZ191" s="65" t="s">
        <v>484</v>
      </c>
      <c r="BA191" s="49" t="s">
        <v>472</v>
      </c>
      <c r="BC191" s="14">
        <f>AW191+AX191</f>
        <v>0</v>
      </c>
      <c r="BD191" s="14">
        <f>H191/(100-BE191)*100</f>
        <v>0</v>
      </c>
      <c r="BE191" s="14">
        <v>0</v>
      </c>
      <c r="BF191" s="14">
        <f>191</f>
        <v>191</v>
      </c>
      <c r="BH191" s="14">
        <f>G191*AO191</f>
        <v>0</v>
      </c>
      <c r="BI191" s="14">
        <f>G191*AP191</f>
        <v>0</v>
      </c>
      <c r="BJ191" s="14">
        <f>G191*H191</f>
        <v>0</v>
      </c>
      <c r="BK191" s="14"/>
      <c r="BL191" s="14">
        <v>96</v>
      </c>
      <c r="BW191" s="14">
        <v>21</v>
      </c>
      <c r="BX191" s="3" t="s">
        <v>505</v>
      </c>
    </row>
    <row r="192" spans="1:76" x14ac:dyDescent="0.25">
      <c r="A192" s="60" t="s">
        <v>20</v>
      </c>
      <c r="B192" s="61" t="s">
        <v>56</v>
      </c>
      <c r="C192" s="61" t="s">
        <v>42</v>
      </c>
      <c r="D192" s="162" t="s">
        <v>43</v>
      </c>
      <c r="E192" s="163"/>
      <c r="F192" s="62" t="s">
        <v>13</v>
      </c>
      <c r="G192" s="62" t="s">
        <v>13</v>
      </c>
      <c r="H192" s="63" t="s">
        <v>13</v>
      </c>
      <c r="I192" s="43">
        <f>SUM(I193:I196)</f>
        <v>0</v>
      </c>
      <c r="K192" s="54"/>
      <c r="AI192" s="49" t="s">
        <v>56</v>
      </c>
      <c r="AS192" s="43">
        <f>SUM(AJ193:AJ196)</f>
        <v>0</v>
      </c>
      <c r="AT192" s="43">
        <f>SUM(AK193:AK196)</f>
        <v>0</v>
      </c>
      <c r="AU192" s="43">
        <f>SUM(AL193:AL196)</f>
        <v>0</v>
      </c>
    </row>
    <row r="193" spans="1:76" ht="25.5" x14ac:dyDescent="0.25">
      <c r="A193" s="1" t="s">
        <v>506</v>
      </c>
      <c r="B193" s="2" t="s">
        <v>56</v>
      </c>
      <c r="C193" s="2" t="s">
        <v>364</v>
      </c>
      <c r="D193" s="81" t="s">
        <v>365</v>
      </c>
      <c r="E193" s="74"/>
      <c r="F193" s="2" t="s">
        <v>217</v>
      </c>
      <c r="G193" s="14">
        <v>1.238</v>
      </c>
      <c r="H193" s="64">
        <v>0</v>
      </c>
      <c r="I193" s="14">
        <f>G193*H193</f>
        <v>0</v>
      </c>
      <c r="K193" s="54"/>
      <c r="Z193" s="14">
        <f>IF(AQ193="5",BJ193,0)</f>
        <v>0</v>
      </c>
      <c r="AB193" s="14">
        <f>IF(AQ193="1",BH193,0)</f>
        <v>0</v>
      </c>
      <c r="AC193" s="14">
        <f>IF(AQ193="1",BI193,0)</f>
        <v>0</v>
      </c>
      <c r="AD193" s="14">
        <f>IF(AQ193="7",BH193,0)</f>
        <v>0</v>
      </c>
      <c r="AE193" s="14">
        <f>IF(AQ193="7",BI193,0)</f>
        <v>0</v>
      </c>
      <c r="AF193" s="14">
        <f>IF(AQ193="2",BH193,0)</f>
        <v>0</v>
      </c>
      <c r="AG193" s="14">
        <f>IF(AQ193="2",BI193,0)</f>
        <v>0</v>
      </c>
      <c r="AH193" s="14">
        <f>IF(AQ193="0",BJ193,0)</f>
        <v>0</v>
      </c>
      <c r="AI193" s="49" t="s">
        <v>56</v>
      </c>
      <c r="AJ193" s="14">
        <f>IF(AN193=0,I193,0)</f>
        <v>0</v>
      </c>
      <c r="AK193" s="14">
        <f>IF(AN193=12,I193,0)</f>
        <v>0</v>
      </c>
      <c r="AL193" s="14">
        <f>IF(AN193=21,I193,0)</f>
        <v>0</v>
      </c>
      <c r="AN193" s="14">
        <v>21</v>
      </c>
      <c r="AO193" s="14">
        <f>H193*0</f>
        <v>0</v>
      </c>
      <c r="AP193" s="14">
        <f>H193*(1-0)</f>
        <v>0</v>
      </c>
      <c r="AQ193" s="65" t="s">
        <v>168</v>
      </c>
      <c r="AV193" s="14">
        <f>AW193+AX193</f>
        <v>0</v>
      </c>
      <c r="AW193" s="14">
        <f>G193*AO193</f>
        <v>0</v>
      </c>
      <c r="AX193" s="14">
        <f>G193*AP193</f>
        <v>0</v>
      </c>
      <c r="AY193" s="65" t="s">
        <v>295</v>
      </c>
      <c r="AZ193" s="65" t="s">
        <v>484</v>
      </c>
      <c r="BA193" s="49" t="s">
        <v>472</v>
      </c>
      <c r="BC193" s="14">
        <f>AW193+AX193</f>
        <v>0</v>
      </c>
      <c r="BD193" s="14">
        <f>H193/(100-BE193)*100</f>
        <v>0</v>
      </c>
      <c r="BE193" s="14">
        <v>0</v>
      </c>
      <c r="BF193" s="14">
        <f>193</f>
        <v>193</v>
      </c>
      <c r="BH193" s="14">
        <f>G193*AO193</f>
        <v>0</v>
      </c>
      <c r="BI193" s="14">
        <f>G193*AP193</f>
        <v>0</v>
      </c>
      <c r="BJ193" s="14">
        <f>G193*H193</f>
        <v>0</v>
      </c>
      <c r="BK193" s="14"/>
      <c r="BL193" s="14"/>
      <c r="BW193" s="14">
        <v>21</v>
      </c>
      <c r="BX193" s="3" t="s">
        <v>365</v>
      </c>
    </row>
    <row r="194" spans="1:76" ht="25.5" x14ac:dyDescent="0.25">
      <c r="A194" s="1" t="s">
        <v>507</v>
      </c>
      <c r="B194" s="2" t="s">
        <v>56</v>
      </c>
      <c r="C194" s="2" t="s">
        <v>293</v>
      </c>
      <c r="D194" s="81" t="s">
        <v>294</v>
      </c>
      <c r="E194" s="74"/>
      <c r="F194" s="2" t="s">
        <v>217</v>
      </c>
      <c r="G194" s="14">
        <v>1.238</v>
      </c>
      <c r="H194" s="64">
        <v>0</v>
      </c>
      <c r="I194" s="14">
        <f>G194*H194</f>
        <v>0</v>
      </c>
      <c r="K194" s="54"/>
      <c r="Z194" s="14">
        <f>IF(AQ194="5",BJ194,0)</f>
        <v>0</v>
      </c>
      <c r="AB194" s="14">
        <f>IF(AQ194="1",BH194,0)</f>
        <v>0</v>
      </c>
      <c r="AC194" s="14">
        <f>IF(AQ194="1",BI194,0)</f>
        <v>0</v>
      </c>
      <c r="AD194" s="14">
        <f>IF(AQ194="7",BH194,0)</f>
        <v>0</v>
      </c>
      <c r="AE194" s="14">
        <f>IF(AQ194="7",BI194,0)</f>
        <v>0</v>
      </c>
      <c r="AF194" s="14">
        <f>IF(AQ194="2",BH194,0)</f>
        <v>0</v>
      </c>
      <c r="AG194" s="14">
        <f>IF(AQ194="2",BI194,0)</f>
        <v>0</v>
      </c>
      <c r="AH194" s="14">
        <f>IF(AQ194="0",BJ194,0)</f>
        <v>0</v>
      </c>
      <c r="AI194" s="49" t="s">
        <v>56</v>
      </c>
      <c r="AJ194" s="14">
        <f>IF(AN194=0,I194,0)</f>
        <v>0</v>
      </c>
      <c r="AK194" s="14">
        <f>IF(AN194=12,I194,0)</f>
        <v>0</v>
      </c>
      <c r="AL194" s="14">
        <f>IF(AN194=21,I194,0)</f>
        <v>0</v>
      </c>
      <c r="AN194" s="14">
        <v>21</v>
      </c>
      <c r="AO194" s="14">
        <f>H194*0</f>
        <v>0</v>
      </c>
      <c r="AP194" s="14">
        <f>H194*(1-0)</f>
        <v>0</v>
      </c>
      <c r="AQ194" s="65" t="s">
        <v>168</v>
      </c>
      <c r="AV194" s="14">
        <f>AW194+AX194</f>
        <v>0</v>
      </c>
      <c r="AW194" s="14">
        <f>G194*AO194</f>
        <v>0</v>
      </c>
      <c r="AX194" s="14">
        <f>G194*AP194</f>
        <v>0</v>
      </c>
      <c r="AY194" s="65" t="s">
        <v>295</v>
      </c>
      <c r="AZ194" s="65" t="s">
        <v>484</v>
      </c>
      <c r="BA194" s="49" t="s">
        <v>472</v>
      </c>
      <c r="BC194" s="14">
        <f>AW194+AX194</f>
        <v>0</v>
      </c>
      <c r="BD194" s="14">
        <f>H194/(100-BE194)*100</f>
        <v>0</v>
      </c>
      <c r="BE194" s="14">
        <v>0</v>
      </c>
      <c r="BF194" s="14">
        <f>194</f>
        <v>194</v>
      </c>
      <c r="BH194" s="14">
        <f>G194*AO194</f>
        <v>0</v>
      </c>
      <c r="BI194" s="14">
        <f>G194*AP194</f>
        <v>0</v>
      </c>
      <c r="BJ194" s="14">
        <f>G194*H194</f>
        <v>0</v>
      </c>
      <c r="BK194" s="14"/>
      <c r="BL194" s="14"/>
      <c r="BW194" s="14">
        <v>21</v>
      </c>
      <c r="BX194" s="3" t="s">
        <v>294</v>
      </c>
    </row>
    <row r="195" spans="1:76" ht="25.5" x14ac:dyDescent="0.25">
      <c r="A195" s="1" t="s">
        <v>508</v>
      </c>
      <c r="B195" s="2" t="s">
        <v>56</v>
      </c>
      <c r="C195" s="2" t="s">
        <v>297</v>
      </c>
      <c r="D195" s="81" t="s">
        <v>298</v>
      </c>
      <c r="E195" s="74"/>
      <c r="F195" s="2" t="s">
        <v>217</v>
      </c>
      <c r="G195" s="14">
        <v>16.094000000000001</v>
      </c>
      <c r="H195" s="64">
        <v>0</v>
      </c>
      <c r="I195" s="14">
        <f>G195*H195</f>
        <v>0</v>
      </c>
      <c r="K195" s="54"/>
      <c r="Z195" s="14">
        <f>IF(AQ195="5",BJ195,0)</f>
        <v>0</v>
      </c>
      <c r="AB195" s="14">
        <f>IF(AQ195="1",BH195,0)</f>
        <v>0</v>
      </c>
      <c r="AC195" s="14">
        <f>IF(AQ195="1",BI195,0)</f>
        <v>0</v>
      </c>
      <c r="AD195" s="14">
        <f>IF(AQ195="7",BH195,0)</f>
        <v>0</v>
      </c>
      <c r="AE195" s="14">
        <f>IF(AQ195="7",BI195,0)</f>
        <v>0</v>
      </c>
      <c r="AF195" s="14">
        <f>IF(AQ195="2",BH195,0)</f>
        <v>0</v>
      </c>
      <c r="AG195" s="14">
        <f>IF(AQ195="2",BI195,0)</f>
        <v>0</v>
      </c>
      <c r="AH195" s="14">
        <f>IF(AQ195="0",BJ195,0)</f>
        <v>0</v>
      </c>
      <c r="AI195" s="49" t="s">
        <v>56</v>
      </c>
      <c r="AJ195" s="14">
        <f>IF(AN195=0,I195,0)</f>
        <v>0</v>
      </c>
      <c r="AK195" s="14">
        <f>IF(AN195=12,I195,0)</f>
        <v>0</v>
      </c>
      <c r="AL195" s="14">
        <f>IF(AN195=21,I195,0)</f>
        <v>0</v>
      </c>
      <c r="AN195" s="14">
        <v>21</v>
      </c>
      <c r="AO195" s="14">
        <f>H195*0</f>
        <v>0</v>
      </c>
      <c r="AP195" s="14">
        <f>H195*(1-0)</f>
        <v>0</v>
      </c>
      <c r="AQ195" s="65" t="s">
        <v>168</v>
      </c>
      <c r="AV195" s="14">
        <f>AW195+AX195</f>
        <v>0</v>
      </c>
      <c r="AW195" s="14">
        <f>G195*AO195</f>
        <v>0</v>
      </c>
      <c r="AX195" s="14">
        <f>G195*AP195</f>
        <v>0</v>
      </c>
      <c r="AY195" s="65" t="s">
        <v>295</v>
      </c>
      <c r="AZ195" s="65" t="s">
        <v>484</v>
      </c>
      <c r="BA195" s="49" t="s">
        <v>472</v>
      </c>
      <c r="BC195" s="14">
        <f>AW195+AX195</f>
        <v>0</v>
      </c>
      <c r="BD195" s="14">
        <f>H195/(100-BE195)*100</f>
        <v>0</v>
      </c>
      <c r="BE195" s="14">
        <v>0</v>
      </c>
      <c r="BF195" s="14">
        <f>195</f>
        <v>195</v>
      </c>
      <c r="BH195" s="14">
        <f>G195*AO195</f>
        <v>0</v>
      </c>
      <c r="BI195" s="14">
        <f>G195*AP195</f>
        <v>0</v>
      </c>
      <c r="BJ195" s="14">
        <f>G195*H195</f>
        <v>0</v>
      </c>
      <c r="BK195" s="14"/>
      <c r="BL195" s="14"/>
      <c r="BW195" s="14">
        <v>21</v>
      </c>
      <c r="BX195" s="3" t="s">
        <v>298</v>
      </c>
    </row>
    <row r="196" spans="1:76" x14ac:dyDescent="0.25">
      <c r="A196" s="1" t="s">
        <v>509</v>
      </c>
      <c r="B196" s="2" t="s">
        <v>56</v>
      </c>
      <c r="C196" s="2" t="s">
        <v>300</v>
      </c>
      <c r="D196" s="81" t="s">
        <v>301</v>
      </c>
      <c r="E196" s="74"/>
      <c r="F196" s="2" t="s">
        <v>217</v>
      </c>
      <c r="G196" s="14">
        <v>1.238</v>
      </c>
      <c r="H196" s="64">
        <v>0</v>
      </c>
      <c r="I196" s="14">
        <f>G196*H196</f>
        <v>0</v>
      </c>
      <c r="K196" s="54"/>
      <c r="Z196" s="14">
        <f>IF(AQ196="5",BJ196,0)</f>
        <v>0</v>
      </c>
      <c r="AB196" s="14">
        <f>IF(AQ196="1",BH196,0)</f>
        <v>0</v>
      </c>
      <c r="AC196" s="14">
        <f>IF(AQ196="1",BI196,0)</f>
        <v>0</v>
      </c>
      <c r="AD196" s="14">
        <f>IF(AQ196="7",BH196,0)</f>
        <v>0</v>
      </c>
      <c r="AE196" s="14">
        <f>IF(AQ196="7",BI196,0)</f>
        <v>0</v>
      </c>
      <c r="AF196" s="14">
        <f>IF(AQ196="2",BH196,0)</f>
        <v>0</v>
      </c>
      <c r="AG196" s="14">
        <f>IF(AQ196="2",BI196,0)</f>
        <v>0</v>
      </c>
      <c r="AH196" s="14">
        <f>IF(AQ196="0",BJ196,0)</f>
        <v>0</v>
      </c>
      <c r="AI196" s="49" t="s">
        <v>56</v>
      </c>
      <c r="AJ196" s="14">
        <f>IF(AN196=0,I196,0)</f>
        <v>0</v>
      </c>
      <c r="AK196" s="14">
        <f>IF(AN196=12,I196,0)</f>
        <v>0</v>
      </c>
      <c r="AL196" s="14">
        <f>IF(AN196=21,I196,0)</f>
        <v>0</v>
      </c>
      <c r="AN196" s="14">
        <v>21</v>
      </c>
      <c r="AO196" s="14">
        <f>H196*0</f>
        <v>0</v>
      </c>
      <c r="AP196" s="14">
        <f>H196*(1-0)</f>
        <v>0</v>
      </c>
      <c r="AQ196" s="65" t="s">
        <v>168</v>
      </c>
      <c r="AV196" s="14">
        <f>AW196+AX196</f>
        <v>0</v>
      </c>
      <c r="AW196" s="14">
        <f>G196*AO196</f>
        <v>0</v>
      </c>
      <c r="AX196" s="14">
        <f>G196*AP196</f>
        <v>0</v>
      </c>
      <c r="AY196" s="65" t="s">
        <v>295</v>
      </c>
      <c r="AZ196" s="65" t="s">
        <v>484</v>
      </c>
      <c r="BA196" s="49" t="s">
        <v>472</v>
      </c>
      <c r="BC196" s="14">
        <f>AW196+AX196</f>
        <v>0</v>
      </c>
      <c r="BD196" s="14">
        <f>H196/(100-BE196)*100</f>
        <v>0</v>
      </c>
      <c r="BE196" s="14">
        <v>0</v>
      </c>
      <c r="BF196" s="14">
        <f>196</f>
        <v>196</v>
      </c>
      <c r="BH196" s="14">
        <f>G196*AO196</f>
        <v>0</v>
      </c>
      <c r="BI196" s="14">
        <f>G196*AP196</f>
        <v>0</v>
      </c>
      <c r="BJ196" s="14">
        <f>G196*H196</f>
        <v>0</v>
      </c>
      <c r="BK196" s="14"/>
      <c r="BL196" s="14"/>
      <c r="BW196" s="14">
        <v>21</v>
      </c>
      <c r="BX196" s="3" t="s">
        <v>301</v>
      </c>
    </row>
    <row r="197" spans="1:76" x14ac:dyDescent="0.25">
      <c r="A197" s="60" t="s">
        <v>20</v>
      </c>
      <c r="B197" s="61" t="s">
        <v>59</v>
      </c>
      <c r="C197" s="61" t="s">
        <v>20</v>
      </c>
      <c r="D197" s="162" t="s">
        <v>60</v>
      </c>
      <c r="E197" s="163"/>
      <c r="F197" s="62" t="s">
        <v>13</v>
      </c>
      <c r="G197" s="62" t="s">
        <v>13</v>
      </c>
      <c r="H197" s="63" t="s">
        <v>13</v>
      </c>
      <c r="I197" s="43">
        <f>I198</f>
        <v>0</v>
      </c>
      <c r="K197" s="54"/>
    </row>
    <row r="198" spans="1:76" x14ac:dyDescent="0.25">
      <c r="A198" s="60" t="s">
        <v>20</v>
      </c>
      <c r="B198" s="61" t="s">
        <v>59</v>
      </c>
      <c r="C198" s="61" t="s">
        <v>61</v>
      </c>
      <c r="D198" s="162" t="s">
        <v>62</v>
      </c>
      <c r="E198" s="163"/>
      <c r="F198" s="62" t="s">
        <v>13</v>
      </c>
      <c r="G198" s="62" t="s">
        <v>13</v>
      </c>
      <c r="H198" s="63" t="s">
        <v>13</v>
      </c>
      <c r="I198" s="43">
        <f>SUM(I199:I209)</f>
        <v>0</v>
      </c>
      <c r="K198" s="54"/>
      <c r="AI198" s="49" t="s">
        <v>59</v>
      </c>
      <c r="AS198" s="43">
        <f>SUM(AJ199:AJ209)</f>
        <v>0</v>
      </c>
      <c r="AT198" s="43">
        <f>SUM(AK199:AK209)</f>
        <v>0</v>
      </c>
      <c r="AU198" s="43">
        <f>SUM(AL199:AL209)</f>
        <v>0</v>
      </c>
    </row>
    <row r="199" spans="1:76" x14ac:dyDescent="0.25">
      <c r="A199" s="1" t="s">
        <v>510</v>
      </c>
      <c r="B199" s="2" t="s">
        <v>59</v>
      </c>
      <c r="C199" s="2" t="s">
        <v>511</v>
      </c>
      <c r="D199" s="81" t="s">
        <v>512</v>
      </c>
      <c r="E199" s="74"/>
      <c r="F199" s="2" t="s">
        <v>513</v>
      </c>
      <c r="G199" s="14">
        <v>3</v>
      </c>
      <c r="H199" s="64">
        <v>0</v>
      </c>
      <c r="I199" s="14">
        <f t="shared" ref="I199:I209" si="168">G199*H199</f>
        <v>0</v>
      </c>
      <c r="K199" s="54"/>
      <c r="Z199" s="14">
        <f t="shared" ref="Z199:Z209" si="169">IF(AQ199="5",BJ199,0)</f>
        <v>0</v>
      </c>
      <c r="AB199" s="14">
        <f t="shared" ref="AB199:AB209" si="170">IF(AQ199="1",BH199,0)</f>
        <v>0</v>
      </c>
      <c r="AC199" s="14">
        <f t="shared" ref="AC199:AC209" si="171">IF(AQ199="1",BI199,0)</f>
        <v>0</v>
      </c>
      <c r="AD199" s="14">
        <f t="shared" ref="AD199:AD209" si="172">IF(AQ199="7",BH199,0)</f>
        <v>0</v>
      </c>
      <c r="AE199" s="14">
        <f t="shared" ref="AE199:AE209" si="173">IF(AQ199="7",BI199,0)</f>
        <v>0</v>
      </c>
      <c r="AF199" s="14">
        <f t="shared" ref="AF199:AF209" si="174">IF(AQ199="2",BH199,0)</f>
        <v>0</v>
      </c>
      <c r="AG199" s="14">
        <f t="shared" ref="AG199:AG209" si="175">IF(AQ199="2",BI199,0)</f>
        <v>0</v>
      </c>
      <c r="AH199" s="14">
        <f t="shared" ref="AH199:AH209" si="176">IF(AQ199="0",BJ199,0)</f>
        <v>0</v>
      </c>
      <c r="AI199" s="49" t="s">
        <v>59</v>
      </c>
      <c r="AJ199" s="14">
        <f t="shared" ref="AJ199:AJ209" si="177">IF(AN199=0,I199,0)</f>
        <v>0</v>
      </c>
      <c r="AK199" s="14">
        <f t="shared" ref="AK199:AK209" si="178">IF(AN199=12,I199,0)</f>
        <v>0</v>
      </c>
      <c r="AL199" s="14">
        <f t="shared" ref="AL199:AL209" si="179">IF(AN199=21,I199,0)</f>
        <v>0</v>
      </c>
      <c r="AN199" s="14">
        <v>21</v>
      </c>
      <c r="AO199" s="14">
        <f t="shared" ref="AO199:AO209" si="180">H199*0</f>
        <v>0</v>
      </c>
      <c r="AP199" s="14">
        <f t="shared" ref="AP199:AP209" si="181">H199*(1-0)</f>
        <v>0</v>
      </c>
      <c r="AQ199" s="65" t="s">
        <v>168</v>
      </c>
      <c r="AV199" s="14">
        <f t="shared" ref="AV199:AV209" si="182">AW199+AX199</f>
        <v>0</v>
      </c>
      <c r="AW199" s="14">
        <f t="shared" ref="AW199:AW209" si="183">G199*AO199</f>
        <v>0</v>
      </c>
      <c r="AX199" s="14">
        <f t="shared" ref="AX199:AX209" si="184">G199*AP199</f>
        <v>0</v>
      </c>
      <c r="AY199" s="65" t="s">
        <v>514</v>
      </c>
      <c r="AZ199" s="65" t="s">
        <v>515</v>
      </c>
      <c r="BA199" s="49" t="s">
        <v>516</v>
      </c>
      <c r="BC199" s="14">
        <f t="shared" ref="BC199:BC209" si="185">AW199+AX199</f>
        <v>0</v>
      </c>
      <c r="BD199" s="14">
        <f t="shared" ref="BD199:BD209" si="186">H199/(100-BE199)*100</f>
        <v>0</v>
      </c>
      <c r="BE199" s="14">
        <v>0</v>
      </c>
      <c r="BF199" s="14">
        <f>199</f>
        <v>199</v>
      </c>
      <c r="BH199" s="14">
        <f t="shared" ref="BH199:BH209" si="187">G199*AO199</f>
        <v>0</v>
      </c>
      <c r="BI199" s="14">
        <f t="shared" ref="BI199:BI209" si="188">G199*AP199</f>
        <v>0</v>
      </c>
      <c r="BJ199" s="14">
        <f t="shared" ref="BJ199:BJ209" si="189">G199*H199</f>
        <v>0</v>
      </c>
      <c r="BK199" s="14"/>
      <c r="BL199" s="14"/>
      <c r="BW199" s="14">
        <v>21</v>
      </c>
      <c r="BX199" s="3" t="s">
        <v>512</v>
      </c>
    </row>
    <row r="200" spans="1:76" x14ac:dyDescent="0.25">
      <c r="A200" s="1" t="s">
        <v>517</v>
      </c>
      <c r="B200" s="2" t="s">
        <v>59</v>
      </c>
      <c r="C200" s="2" t="s">
        <v>518</v>
      </c>
      <c r="D200" s="81" t="s">
        <v>519</v>
      </c>
      <c r="E200" s="74"/>
      <c r="F200" s="2" t="s">
        <v>513</v>
      </c>
      <c r="G200" s="14">
        <v>1</v>
      </c>
      <c r="H200" s="64">
        <v>0</v>
      </c>
      <c r="I200" s="14">
        <f t="shared" si="168"/>
        <v>0</v>
      </c>
      <c r="K200" s="54"/>
      <c r="Z200" s="14">
        <f t="shared" si="169"/>
        <v>0</v>
      </c>
      <c r="AB200" s="14">
        <f t="shared" si="170"/>
        <v>0</v>
      </c>
      <c r="AC200" s="14">
        <f t="shared" si="171"/>
        <v>0</v>
      </c>
      <c r="AD200" s="14">
        <f t="shared" si="172"/>
        <v>0</v>
      </c>
      <c r="AE200" s="14">
        <f t="shared" si="173"/>
        <v>0</v>
      </c>
      <c r="AF200" s="14">
        <f t="shared" si="174"/>
        <v>0</v>
      </c>
      <c r="AG200" s="14">
        <f t="shared" si="175"/>
        <v>0</v>
      </c>
      <c r="AH200" s="14">
        <f t="shared" si="176"/>
        <v>0</v>
      </c>
      <c r="AI200" s="49" t="s">
        <v>59</v>
      </c>
      <c r="AJ200" s="14">
        <f t="shared" si="177"/>
        <v>0</v>
      </c>
      <c r="AK200" s="14">
        <f t="shared" si="178"/>
        <v>0</v>
      </c>
      <c r="AL200" s="14">
        <f t="shared" si="179"/>
        <v>0</v>
      </c>
      <c r="AN200" s="14">
        <v>21</v>
      </c>
      <c r="AO200" s="14">
        <f t="shared" si="180"/>
        <v>0</v>
      </c>
      <c r="AP200" s="14">
        <f t="shared" si="181"/>
        <v>0</v>
      </c>
      <c r="AQ200" s="65" t="s">
        <v>168</v>
      </c>
      <c r="AV200" s="14">
        <f t="shared" si="182"/>
        <v>0</v>
      </c>
      <c r="AW200" s="14">
        <f t="shared" si="183"/>
        <v>0</v>
      </c>
      <c r="AX200" s="14">
        <f t="shared" si="184"/>
        <v>0</v>
      </c>
      <c r="AY200" s="65" t="s">
        <v>514</v>
      </c>
      <c r="AZ200" s="65" t="s">
        <v>515</v>
      </c>
      <c r="BA200" s="49" t="s">
        <v>516</v>
      </c>
      <c r="BC200" s="14">
        <f t="shared" si="185"/>
        <v>0</v>
      </c>
      <c r="BD200" s="14">
        <f t="shared" si="186"/>
        <v>0</v>
      </c>
      <c r="BE200" s="14">
        <v>0</v>
      </c>
      <c r="BF200" s="14">
        <f>200</f>
        <v>200</v>
      </c>
      <c r="BH200" s="14">
        <f t="shared" si="187"/>
        <v>0</v>
      </c>
      <c r="BI200" s="14">
        <f t="shared" si="188"/>
        <v>0</v>
      </c>
      <c r="BJ200" s="14">
        <f t="shared" si="189"/>
        <v>0</v>
      </c>
      <c r="BK200" s="14"/>
      <c r="BL200" s="14"/>
      <c r="BW200" s="14">
        <v>21</v>
      </c>
      <c r="BX200" s="3" t="s">
        <v>519</v>
      </c>
    </row>
    <row r="201" spans="1:76" x14ac:dyDescent="0.25">
      <c r="A201" s="1" t="s">
        <v>520</v>
      </c>
      <c r="B201" s="2" t="s">
        <v>59</v>
      </c>
      <c r="C201" s="2" t="s">
        <v>521</v>
      </c>
      <c r="D201" s="81" t="s">
        <v>522</v>
      </c>
      <c r="E201" s="74"/>
      <c r="F201" s="2" t="s">
        <v>513</v>
      </c>
      <c r="G201" s="14">
        <v>2</v>
      </c>
      <c r="H201" s="64">
        <v>0</v>
      </c>
      <c r="I201" s="14">
        <f t="shared" si="168"/>
        <v>0</v>
      </c>
      <c r="K201" s="54"/>
      <c r="Z201" s="14">
        <f t="shared" si="169"/>
        <v>0</v>
      </c>
      <c r="AB201" s="14">
        <f t="shared" si="170"/>
        <v>0</v>
      </c>
      <c r="AC201" s="14">
        <f t="shared" si="171"/>
        <v>0</v>
      </c>
      <c r="AD201" s="14">
        <f t="shared" si="172"/>
        <v>0</v>
      </c>
      <c r="AE201" s="14">
        <f t="shared" si="173"/>
        <v>0</v>
      </c>
      <c r="AF201" s="14">
        <f t="shared" si="174"/>
        <v>0</v>
      </c>
      <c r="AG201" s="14">
        <f t="shared" si="175"/>
        <v>0</v>
      </c>
      <c r="AH201" s="14">
        <f t="shared" si="176"/>
        <v>0</v>
      </c>
      <c r="AI201" s="49" t="s">
        <v>59</v>
      </c>
      <c r="AJ201" s="14">
        <f t="shared" si="177"/>
        <v>0</v>
      </c>
      <c r="AK201" s="14">
        <f t="shared" si="178"/>
        <v>0</v>
      </c>
      <c r="AL201" s="14">
        <f t="shared" si="179"/>
        <v>0</v>
      </c>
      <c r="AN201" s="14">
        <v>21</v>
      </c>
      <c r="AO201" s="14">
        <f t="shared" si="180"/>
        <v>0</v>
      </c>
      <c r="AP201" s="14">
        <f t="shared" si="181"/>
        <v>0</v>
      </c>
      <c r="AQ201" s="65" t="s">
        <v>168</v>
      </c>
      <c r="AV201" s="14">
        <f t="shared" si="182"/>
        <v>0</v>
      </c>
      <c r="AW201" s="14">
        <f t="shared" si="183"/>
        <v>0</v>
      </c>
      <c r="AX201" s="14">
        <f t="shared" si="184"/>
        <v>0</v>
      </c>
      <c r="AY201" s="65" t="s">
        <v>514</v>
      </c>
      <c r="AZ201" s="65" t="s">
        <v>515</v>
      </c>
      <c r="BA201" s="49" t="s">
        <v>516</v>
      </c>
      <c r="BC201" s="14">
        <f t="shared" si="185"/>
        <v>0</v>
      </c>
      <c r="BD201" s="14">
        <f t="shared" si="186"/>
        <v>0</v>
      </c>
      <c r="BE201" s="14">
        <v>0</v>
      </c>
      <c r="BF201" s="14">
        <f>201</f>
        <v>201</v>
      </c>
      <c r="BH201" s="14">
        <f t="shared" si="187"/>
        <v>0</v>
      </c>
      <c r="BI201" s="14">
        <f t="shared" si="188"/>
        <v>0</v>
      </c>
      <c r="BJ201" s="14">
        <f t="shared" si="189"/>
        <v>0</v>
      </c>
      <c r="BK201" s="14"/>
      <c r="BL201" s="14"/>
      <c r="BW201" s="14">
        <v>21</v>
      </c>
      <c r="BX201" s="3" t="s">
        <v>522</v>
      </c>
    </row>
    <row r="202" spans="1:76" ht="25.5" x14ac:dyDescent="0.25">
      <c r="A202" s="1" t="s">
        <v>523</v>
      </c>
      <c r="B202" s="2" t="s">
        <v>59</v>
      </c>
      <c r="C202" s="2" t="s">
        <v>524</v>
      </c>
      <c r="D202" s="81" t="s">
        <v>525</v>
      </c>
      <c r="E202" s="74"/>
      <c r="F202" s="2" t="s">
        <v>513</v>
      </c>
      <c r="G202" s="14">
        <v>3</v>
      </c>
      <c r="H202" s="64">
        <v>0</v>
      </c>
      <c r="I202" s="14">
        <f t="shared" si="168"/>
        <v>0</v>
      </c>
      <c r="K202" s="54"/>
      <c r="Z202" s="14">
        <f t="shared" si="169"/>
        <v>0</v>
      </c>
      <c r="AB202" s="14">
        <f t="shared" si="170"/>
        <v>0</v>
      </c>
      <c r="AC202" s="14">
        <f t="shared" si="171"/>
        <v>0</v>
      </c>
      <c r="AD202" s="14">
        <f t="shared" si="172"/>
        <v>0</v>
      </c>
      <c r="AE202" s="14">
        <f t="shared" si="173"/>
        <v>0</v>
      </c>
      <c r="AF202" s="14">
        <f t="shared" si="174"/>
        <v>0</v>
      </c>
      <c r="AG202" s="14">
        <f t="shared" si="175"/>
        <v>0</v>
      </c>
      <c r="AH202" s="14">
        <f t="shared" si="176"/>
        <v>0</v>
      </c>
      <c r="AI202" s="49" t="s">
        <v>59</v>
      </c>
      <c r="AJ202" s="14">
        <f t="shared" si="177"/>
        <v>0</v>
      </c>
      <c r="AK202" s="14">
        <f t="shared" si="178"/>
        <v>0</v>
      </c>
      <c r="AL202" s="14">
        <f t="shared" si="179"/>
        <v>0</v>
      </c>
      <c r="AN202" s="14">
        <v>21</v>
      </c>
      <c r="AO202" s="14">
        <f t="shared" si="180"/>
        <v>0</v>
      </c>
      <c r="AP202" s="14">
        <f t="shared" si="181"/>
        <v>0</v>
      </c>
      <c r="AQ202" s="65" t="s">
        <v>168</v>
      </c>
      <c r="AV202" s="14">
        <f t="shared" si="182"/>
        <v>0</v>
      </c>
      <c r="AW202" s="14">
        <f t="shared" si="183"/>
        <v>0</v>
      </c>
      <c r="AX202" s="14">
        <f t="shared" si="184"/>
        <v>0</v>
      </c>
      <c r="AY202" s="65" t="s">
        <v>514</v>
      </c>
      <c r="AZ202" s="65" t="s">
        <v>515</v>
      </c>
      <c r="BA202" s="49" t="s">
        <v>516</v>
      </c>
      <c r="BC202" s="14">
        <f t="shared" si="185"/>
        <v>0</v>
      </c>
      <c r="BD202" s="14">
        <f t="shared" si="186"/>
        <v>0</v>
      </c>
      <c r="BE202" s="14">
        <v>0</v>
      </c>
      <c r="BF202" s="14">
        <f>202</f>
        <v>202</v>
      </c>
      <c r="BH202" s="14">
        <f t="shared" si="187"/>
        <v>0</v>
      </c>
      <c r="BI202" s="14">
        <f t="shared" si="188"/>
        <v>0</v>
      </c>
      <c r="BJ202" s="14">
        <f t="shared" si="189"/>
        <v>0</v>
      </c>
      <c r="BK202" s="14"/>
      <c r="BL202" s="14"/>
      <c r="BW202" s="14">
        <v>21</v>
      </c>
      <c r="BX202" s="3" t="s">
        <v>525</v>
      </c>
    </row>
    <row r="203" spans="1:76" x14ac:dyDescent="0.25">
      <c r="A203" s="1" t="s">
        <v>526</v>
      </c>
      <c r="B203" s="2" t="s">
        <v>59</v>
      </c>
      <c r="C203" s="2" t="s">
        <v>527</v>
      </c>
      <c r="D203" s="81" t="s">
        <v>528</v>
      </c>
      <c r="E203" s="74"/>
      <c r="F203" s="2" t="s">
        <v>513</v>
      </c>
      <c r="G203" s="14">
        <v>6</v>
      </c>
      <c r="H203" s="64">
        <v>0</v>
      </c>
      <c r="I203" s="14">
        <f t="shared" si="168"/>
        <v>0</v>
      </c>
      <c r="K203" s="54"/>
      <c r="Z203" s="14">
        <f t="shared" si="169"/>
        <v>0</v>
      </c>
      <c r="AB203" s="14">
        <f t="shared" si="170"/>
        <v>0</v>
      </c>
      <c r="AC203" s="14">
        <f t="shared" si="171"/>
        <v>0</v>
      </c>
      <c r="AD203" s="14">
        <f t="shared" si="172"/>
        <v>0</v>
      </c>
      <c r="AE203" s="14">
        <f t="shared" si="173"/>
        <v>0</v>
      </c>
      <c r="AF203" s="14">
        <f t="shared" si="174"/>
        <v>0</v>
      </c>
      <c r="AG203" s="14">
        <f t="shared" si="175"/>
        <v>0</v>
      </c>
      <c r="AH203" s="14">
        <f t="shared" si="176"/>
        <v>0</v>
      </c>
      <c r="AI203" s="49" t="s">
        <v>59</v>
      </c>
      <c r="AJ203" s="14">
        <f t="shared" si="177"/>
        <v>0</v>
      </c>
      <c r="AK203" s="14">
        <f t="shared" si="178"/>
        <v>0</v>
      </c>
      <c r="AL203" s="14">
        <f t="shared" si="179"/>
        <v>0</v>
      </c>
      <c r="AN203" s="14">
        <v>21</v>
      </c>
      <c r="AO203" s="14">
        <f t="shared" si="180"/>
        <v>0</v>
      </c>
      <c r="AP203" s="14">
        <f t="shared" si="181"/>
        <v>0</v>
      </c>
      <c r="AQ203" s="65" t="s">
        <v>168</v>
      </c>
      <c r="AV203" s="14">
        <f t="shared" si="182"/>
        <v>0</v>
      </c>
      <c r="AW203" s="14">
        <f t="shared" si="183"/>
        <v>0</v>
      </c>
      <c r="AX203" s="14">
        <f t="shared" si="184"/>
        <v>0</v>
      </c>
      <c r="AY203" s="65" t="s">
        <v>514</v>
      </c>
      <c r="AZ203" s="65" t="s">
        <v>515</v>
      </c>
      <c r="BA203" s="49" t="s">
        <v>516</v>
      </c>
      <c r="BC203" s="14">
        <f t="shared" si="185"/>
        <v>0</v>
      </c>
      <c r="BD203" s="14">
        <f t="shared" si="186"/>
        <v>0</v>
      </c>
      <c r="BE203" s="14">
        <v>0</v>
      </c>
      <c r="BF203" s="14">
        <f>203</f>
        <v>203</v>
      </c>
      <c r="BH203" s="14">
        <f t="shared" si="187"/>
        <v>0</v>
      </c>
      <c r="BI203" s="14">
        <f t="shared" si="188"/>
        <v>0</v>
      </c>
      <c r="BJ203" s="14">
        <f t="shared" si="189"/>
        <v>0</v>
      </c>
      <c r="BK203" s="14"/>
      <c r="BL203" s="14"/>
      <c r="BW203" s="14">
        <v>21</v>
      </c>
      <c r="BX203" s="3" t="s">
        <v>528</v>
      </c>
    </row>
    <row r="204" spans="1:76" x14ac:dyDescent="0.25">
      <c r="A204" s="1" t="s">
        <v>529</v>
      </c>
      <c r="B204" s="2" t="s">
        <v>59</v>
      </c>
      <c r="C204" s="2" t="s">
        <v>530</v>
      </c>
      <c r="D204" s="81" t="s">
        <v>531</v>
      </c>
      <c r="E204" s="74"/>
      <c r="F204" s="2" t="s">
        <v>264</v>
      </c>
      <c r="G204" s="14">
        <v>3</v>
      </c>
      <c r="H204" s="64">
        <v>0</v>
      </c>
      <c r="I204" s="14">
        <f t="shared" si="168"/>
        <v>0</v>
      </c>
      <c r="K204" s="54"/>
      <c r="Z204" s="14">
        <f t="shared" si="169"/>
        <v>0</v>
      </c>
      <c r="AB204" s="14">
        <f t="shared" si="170"/>
        <v>0</v>
      </c>
      <c r="AC204" s="14">
        <f t="shared" si="171"/>
        <v>0</v>
      </c>
      <c r="AD204" s="14">
        <f t="shared" si="172"/>
        <v>0</v>
      </c>
      <c r="AE204" s="14">
        <f t="shared" si="173"/>
        <v>0</v>
      </c>
      <c r="AF204" s="14">
        <f t="shared" si="174"/>
        <v>0</v>
      </c>
      <c r="AG204" s="14">
        <f t="shared" si="175"/>
        <v>0</v>
      </c>
      <c r="AH204" s="14">
        <f t="shared" si="176"/>
        <v>0</v>
      </c>
      <c r="AI204" s="49" t="s">
        <v>59</v>
      </c>
      <c r="AJ204" s="14">
        <f t="shared" si="177"/>
        <v>0</v>
      </c>
      <c r="AK204" s="14">
        <f t="shared" si="178"/>
        <v>0</v>
      </c>
      <c r="AL204" s="14">
        <f t="shared" si="179"/>
        <v>0</v>
      </c>
      <c r="AN204" s="14">
        <v>21</v>
      </c>
      <c r="AO204" s="14">
        <f t="shared" si="180"/>
        <v>0</v>
      </c>
      <c r="AP204" s="14">
        <f t="shared" si="181"/>
        <v>0</v>
      </c>
      <c r="AQ204" s="65" t="s">
        <v>168</v>
      </c>
      <c r="AV204" s="14">
        <f t="shared" si="182"/>
        <v>0</v>
      </c>
      <c r="AW204" s="14">
        <f t="shared" si="183"/>
        <v>0</v>
      </c>
      <c r="AX204" s="14">
        <f t="shared" si="184"/>
        <v>0</v>
      </c>
      <c r="AY204" s="65" t="s">
        <v>514</v>
      </c>
      <c r="AZ204" s="65" t="s">
        <v>515</v>
      </c>
      <c r="BA204" s="49" t="s">
        <v>516</v>
      </c>
      <c r="BC204" s="14">
        <f t="shared" si="185"/>
        <v>0</v>
      </c>
      <c r="BD204" s="14">
        <f t="shared" si="186"/>
        <v>0</v>
      </c>
      <c r="BE204" s="14">
        <v>0</v>
      </c>
      <c r="BF204" s="14">
        <f>204</f>
        <v>204</v>
      </c>
      <c r="BH204" s="14">
        <f t="shared" si="187"/>
        <v>0</v>
      </c>
      <c r="BI204" s="14">
        <f t="shared" si="188"/>
        <v>0</v>
      </c>
      <c r="BJ204" s="14">
        <f t="shared" si="189"/>
        <v>0</v>
      </c>
      <c r="BK204" s="14"/>
      <c r="BL204" s="14"/>
      <c r="BW204" s="14">
        <v>21</v>
      </c>
      <c r="BX204" s="3" t="s">
        <v>531</v>
      </c>
    </row>
    <row r="205" spans="1:76" x14ac:dyDescent="0.25">
      <c r="A205" s="1" t="s">
        <v>532</v>
      </c>
      <c r="B205" s="2" t="s">
        <v>59</v>
      </c>
      <c r="C205" s="2" t="s">
        <v>533</v>
      </c>
      <c r="D205" s="81" t="s">
        <v>534</v>
      </c>
      <c r="E205" s="74"/>
      <c r="F205" s="2" t="s">
        <v>513</v>
      </c>
      <c r="G205" s="14">
        <v>36</v>
      </c>
      <c r="H205" s="64">
        <v>0</v>
      </c>
      <c r="I205" s="14">
        <f t="shared" si="168"/>
        <v>0</v>
      </c>
      <c r="K205" s="54"/>
      <c r="Z205" s="14">
        <f t="shared" si="169"/>
        <v>0</v>
      </c>
      <c r="AB205" s="14">
        <f t="shared" si="170"/>
        <v>0</v>
      </c>
      <c r="AC205" s="14">
        <f t="shared" si="171"/>
        <v>0</v>
      </c>
      <c r="AD205" s="14">
        <f t="shared" si="172"/>
        <v>0</v>
      </c>
      <c r="AE205" s="14">
        <f t="shared" si="173"/>
        <v>0</v>
      </c>
      <c r="AF205" s="14">
        <f t="shared" si="174"/>
        <v>0</v>
      </c>
      <c r="AG205" s="14">
        <f t="shared" si="175"/>
        <v>0</v>
      </c>
      <c r="AH205" s="14">
        <f t="shared" si="176"/>
        <v>0</v>
      </c>
      <c r="AI205" s="49" t="s">
        <v>59</v>
      </c>
      <c r="AJ205" s="14">
        <f t="shared" si="177"/>
        <v>0</v>
      </c>
      <c r="AK205" s="14">
        <f t="shared" si="178"/>
        <v>0</v>
      </c>
      <c r="AL205" s="14">
        <f t="shared" si="179"/>
        <v>0</v>
      </c>
      <c r="AN205" s="14">
        <v>21</v>
      </c>
      <c r="AO205" s="14">
        <f t="shared" si="180"/>
        <v>0</v>
      </c>
      <c r="AP205" s="14">
        <f t="shared" si="181"/>
        <v>0</v>
      </c>
      <c r="AQ205" s="65" t="s">
        <v>168</v>
      </c>
      <c r="AV205" s="14">
        <f t="shared" si="182"/>
        <v>0</v>
      </c>
      <c r="AW205" s="14">
        <f t="shared" si="183"/>
        <v>0</v>
      </c>
      <c r="AX205" s="14">
        <f t="shared" si="184"/>
        <v>0</v>
      </c>
      <c r="AY205" s="65" t="s">
        <v>514</v>
      </c>
      <c r="AZ205" s="65" t="s">
        <v>515</v>
      </c>
      <c r="BA205" s="49" t="s">
        <v>516</v>
      </c>
      <c r="BC205" s="14">
        <f t="shared" si="185"/>
        <v>0</v>
      </c>
      <c r="BD205" s="14">
        <f t="shared" si="186"/>
        <v>0</v>
      </c>
      <c r="BE205" s="14">
        <v>0</v>
      </c>
      <c r="BF205" s="14">
        <f>205</f>
        <v>205</v>
      </c>
      <c r="BH205" s="14">
        <f t="shared" si="187"/>
        <v>0</v>
      </c>
      <c r="BI205" s="14">
        <f t="shared" si="188"/>
        <v>0</v>
      </c>
      <c r="BJ205" s="14">
        <f t="shared" si="189"/>
        <v>0</v>
      </c>
      <c r="BK205" s="14"/>
      <c r="BL205" s="14"/>
      <c r="BW205" s="14">
        <v>21</v>
      </c>
      <c r="BX205" s="3" t="s">
        <v>534</v>
      </c>
    </row>
    <row r="206" spans="1:76" x14ac:dyDescent="0.25">
      <c r="A206" s="1" t="s">
        <v>535</v>
      </c>
      <c r="B206" s="2" t="s">
        <v>59</v>
      </c>
      <c r="C206" s="2" t="s">
        <v>536</v>
      </c>
      <c r="D206" s="81" t="s">
        <v>537</v>
      </c>
      <c r="E206" s="74"/>
      <c r="F206" s="2" t="s">
        <v>513</v>
      </c>
      <c r="G206" s="14">
        <v>4</v>
      </c>
      <c r="H206" s="64">
        <v>0</v>
      </c>
      <c r="I206" s="14">
        <f t="shared" si="168"/>
        <v>0</v>
      </c>
      <c r="K206" s="54"/>
      <c r="Z206" s="14">
        <f t="shared" si="169"/>
        <v>0</v>
      </c>
      <c r="AB206" s="14">
        <f t="shared" si="170"/>
        <v>0</v>
      </c>
      <c r="AC206" s="14">
        <f t="shared" si="171"/>
        <v>0</v>
      </c>
      <c r="AD206" s="14">
        <f t="shared" si="172"/>
        <v>0</v>
      </c>
      <c r="AE206" s="14">
        <f t="shared" si="173"/>
        <v>0</v>
      </c>
      <c r="AF206" s="14">
        <f t="shared" si="174"/>
        <v>0</v>
      </c>
      <c r="AG206" s="14">
        <f t="shared" si="175"/>
        <v>0</v>
      </c>
      <c r="AH206" s="14">
        <f t="shared" si="176"/>
        <v>0</v>
      </c>
      <c r="AI206" s="49" t="s">
        <v>59</v>
      </c>
      <c r="AJ206" s="14">
        <f t="shared" si="177"/>
        <v>0</v>
      </c>
      <c r="AK206" s="14">
        <f t="shared" si="178"/>
        <v>0</v>
      </c>
      <c r="AL206" s="14">
        <f t="shared" si="179"/>
        <v>0</v>
      </c>
      <c r="AN206" s="14">
        <v>21</v>
      </c>
      <c r="AO206" s="14">
        <f t="shared" si="180"/>
        <v>0</v>
      </c>
      <c r="AP206" s="14">
        <f t="shared" si="181"/>
        <v>0</v>
      </c>
      <c r="AQ206" s="65" t="s">
        <v>168</v>
      </c>
      <c r="AV206" s="14">
        <f t="shared" si="182"/>
        <v>0</v>
      </c>
      <c r="AW206" s="14">
        <f t="shared" si="183"/>
        <v>0</v>
      </c>
      <c r="AX206" s="14">
        <f t="shared" si="184"/>
        <v>0</v>
      </c>
      <c r="AY206" s="65" t="s">
        <v>514</v>
      </c>
      <c r="AZ206" s="65" t="s">
        <v>515</v>
      </c>
      <c r="BA206" s="49" t="s">
        <v>516</v>
      </c>
      <c r="BC206" s="14">
        <f t="shared" si="185"/>
        <v>0</v>
      </c>
      <c r="BD206" s="14">
        <f t="shared" si="186"/>
        <v>0</v>
      </c>
      <c r="BE206" s="14">
        <v>0</v>
      </c>
      <c r="BF206" s="14">
        <f>206</f>
        <v>206</v>
      </c>
      <c r="BH206" s="14">
        <f t="shared" si="187"/>
        <v>0</v>
      </c>
      <c r="BI206" s="14">
        <f t="shared" si="188"/>
        <v>0</v>
      </c>
      <c r="BJ206" s="14">
        <f t="shared" si="189"/>
        <v>0</v>
      </c>
      <c r="BK206" s="14"/>
      <c r="BL206" s="14"/>
      <c r="BW206" s="14">
        <v>21</v>
      </c>
      <c r="BX206" s="3" t="s">
        <v>537</v>
      </c>
    </row>
    <row r="207" spans="1:76" ht="25.5" x14ac:dyDescent="0.25">
      <c r="A207" s="1" t="s">
        <v>538</v>
      </c>
      <c r="B207" s="2" t="s">
        <v>59</v>
      </c>
      <c r="C207" s="2" t="s">
        <v>539</v>
      </c>
      <c r="D207" s="81" t="s">
        <v>540</v>
      </c>
      <c r="E207" s="74"/>
      <c r="F207" s="2" t="s">
        <v>541</v>
      </c>
      <c r="G207" s="14">
        <v>1</v>
      </c>
      <c r="H207" s="64">
        <v>0</v>
      </c>
      <c r="I207" s="14">
        <f t="shared" si="168"/>
        <v>0</v>
      </c>
      <c r="K207" s="54"/>
      <c r="Z207" s="14">
        <f t="shared" si="169"/>
        <v>0</v>
      </c>
      <c r="AB207" s="14">
        <f t="shared" si="170"/>
        <v>0</v>
      </c>
      <c r="AC207" s="14">
        <f t="shared" si="171"/>
        <v>0</v>
      </c>
      <c r="AD207" s="14">
        <f t="shared" si="172"/>
        <v>0</v>
      </c>
      <c r="AE207" s="14">
        <f t="shared" si="173"/>
        <v>0</v>
      </c>
      <c r="AF207" s="14">
        <f t="shared" si="174"/>
        <v>0</v>
      </c>
      <c r="AG207" s="14">
        <f t="shared" si="175"/>
        <v>0</v>
      </c>
      <c r="AH207" s="14">
        <f t="shared" si="176"/>
        <v>0</v>
      </c>
      <c r="AI207" s="49" t="s">
        <v>59</v>
      </c>
      <c r="AJ207" s="14">
        <f t="shared" si="177"/>
        <v>0</v>
      </c>
      <c r="AK207" s="14">
        <f t="shared" si="178"/>
        <v>0</v>
      </c>
      <c r="AL207" s="14">
        <f t="shared" si="179"/>
        <v>0</v>
      </c>
      <c r="AN207" s="14">
        <v>21</v>
      </c>
      <c r="AO207" s="14">
        <f t="shared" si="180"/>
        <v>0</v>
      </c>
      <c r="AP207" s="14">
        <f t="shared" si="181"/>
        <v>0</v>
      </c>
      <c r="AQ207" s="65" t="s">
        <v>168</v>
      </c>
      <c r="AV207" s="14">
        <f t="shared" si="182"/>
        <v>0</v>
      </c>
      <c r="AW207" s="14">
        <f t="shared" si="183"/>
        <v>0</v>
      </c>
      <c r="AX207" s="14">
        <f t="shared" si="184"/>
        <v>0</v>
      </c>
      <c r="AY207" s="65" t="s">
        <v>514</v>
      </c>
      <c r="AZ207" s="65" t="s">
        <v>515</v>
      </c>
      <c r="BA207" s="49" t="s">
        <v>516</v>
      </c>
      <c r="BC207" s="14">
        <f t="shared" si="185"/>
        <v>0</v>
      </c>
      <c r="BD207" s="14">
        <f t="shared" si="186"/>
        <v>0</v>
      </c>
      <c r="BE207" s="14">
        <v>0</v>
      </c>
      <c r="BF207" s="14">
        <f>207</f>
        <v>207</v>
      </c>
      <c r="BH207" s="14">
        <f t="shared" si="187"/>
        <v>0</v>
      </c>
      <c r="BI207" s="14">
        <f t="shared" si="188"/>
        <v>0</v>
      </c>
      <c r="BJ207" s="14">
        <f t="shared" si="189"/>
        <v>0</v>
      </c>
      <c r="BK207" s="14"/>
      <c r="BL207" s="14"/>
      <c r="BW207" s="14">
        <v>21</v>
      </c>
      <c r="BX207" s="3" t="s">
        <v>540</v>
      </c>
    </row>
    <row r="208" spans="1:76" ht="25.5" x14ac:dyDescent="0.25">
      <c r="A208" s="1" t="s">
        <v>542</v>
      </c>
      <c r="B208" s="2" t="s">
        <v>59</v>
      </c>
      <c r="C208" s="2" t="s">
        <v>543</v>
      </c>
      <c r="D208" s="81" t="s">
        <v>544</v>
      </c>
      <c r="E208" s="74"/>
      <c r="F208" s="2" t="s">
        <v>513</v>
      </c>
      <c r="G208" s="14">
        <v>1</v>
      </c>
      <c r="H208" s="64">
        <v>0</v>
      </c>
      <c r="I208" s="14">
        <f t="shared" si="168"/>
        <v>0</v>
      </c>
      <c r="K208" s="54"/>
      <c r="Z208" s="14">
        <f t="shared" si="169"/>
        <v>0</v>
      </c>
      <c r="AB208" s="14">
        <f t="shared" si="170"/>
        <v>0</v>
      </c>
      <c r="AC208" s="14">
        <f t="shared" si="171"/>
        <v>0</v>
      </c>
      <c r="AD208" s="14">
        <f t="shared" si="172"/>
        <v>0</v>
      </c>
      <c r="AE208" s="14">
        <f t="shared" si="173"/>
        <v>0</v>
      </c>
      <c r="AF208" s="14">
        <f t="shared" si="174"/>
        <v>0</v>
      </c>
      <c r="AG208" s="14">
        <f t="shared" si="175"/>
        <v>0</v>
      </c>
      <c r="AH208" s="14">
        <f t="shared" si="176"/>
        <v>0</v>
      </c>
      <c r="AI208" s="49" t="s">
        <v>59</v>
      </c>
      <c r="AJ208" s="14">
        <f t="shared" si="177"/>
        <v>0</v>
      </c>
      <c r="AK208" s="14">
        <f t="shared" si="178"/>
        <v>0</v>
      </c>
      <c r="AL208" s="14">
        <f t="shared" si="179"/>
        <v>0</v>
      </c>
      <c r="AN208" s="14">
        <v>21</v>
      </c>
      <c r="AO208" s="14">
        <f t="shared" si="180"/>
        <v>0</v>
      </c>
      <c r="AP208" s="14">
        <f t="shared" si="181"/>
        <v>0</v>
      </c>
      <c r="AQ208" s="65" t="s">
        <v>168</v>
      </c>
      <c r="AV208" s="14">
        <f t="shared" si="182"/>
        <v>0</v>
      </c>
      <c r="AW208" s="14">
        <f t="shared" si="183"/>
        <v>0</v>
      </c>
      <c r="AX208" s="14">
        <f t="shared" si="184"/>
        <v>0</v>
      </c>
      <c r="AY208" s="65" t="s">
        <v>514</v>
      </c>
      <c r="AZ208" s="65" t="s">
        <v>515</v>
      </c>
      <c r="BA208" s="49" t="s">
        <v>516</v>
      </c>
      <c r="BC208" s="14">
        <f t="shared" si="185"/>
        <v>0</v>
      </c>
      <c r="BD208" s="14">
        <f t="shared" si="186"/>
        <v>0</v>
      </c>
      <c r="BE208" s="14">
        <v>0</v>
      </c>
      <c r="BF208" s="14">
        <f>208</f>
        <v>208</v>
      </c>
      <c r="BH208" s="14">
        <f t="shared" si="187"/>
        <v>0</v>
      </c>
      <c r="BI208" s="14">
        <f t="shared" si="188"/>
        <v>0</v>
      </c>
      <c r="BJ208" s="14">
        <f t="shared" si="189"/>
        <v>0</v>
      </c>
      <c r="BK208" s="14"/>
      <c r="BL208" s="14"/>
      <c r="BW208" s="14">
        <v>21</v>
      </c>
      <c r="BX208" s="3" t="s">
        <v>544</v>
      </c>
    </row>
    <row r="209" spans="1:76" ht="25.5" x14ac:dyDescent="0.25">
      <c r="A209" s="1" t="s">
        <v>545</v>
      </c>
      <c r="B209" s="2" t="s">
        <v>59</v>
      </c>
      <c r="C209" s="2" t="s">
        <v>546</v>
      </c>
      <c r="D209" s="81" t="s">
        <v>547</v>
      </c>
      <c r="E209" s="74"/>
      <c r="F209" s="2" t="s">
        <v>548</v>
      </c>
      <c r="G209" s="14">
        <v>1</v>
      </c>
      <c r="H209" s="64">
        <v>0</v>
      </c>
      <c r="I209" s="14">
        <f t="shared" si="168"/>
        <v>0</v>
      </c>
      <c r="K209" s="54"/>
      <c r="Z209" s="14">
        <f t="shared" si="169"/>
        <v>0</v>
      </c>
      <c r="AB209" s="14">
        <f t="shared" si="170"/>
        <v>0</v>
      </c>
      <c r="AC209" s="14">
        <f t="shared" si="171"/>
        <v>0</v>
      </c>
      <c r="AD209" s="14">
        <f t="shared" si="172"/>
        <v>0</v>
      </c>
      <c r="AE209" s="14">
        <f t="shared" si="173"/>
        <v>0</v>
      </c>
      <c r="AF209" s="14">
        <f t="shared" si="174"/>
        <v>0</v>
      </c>
      <c r="AG209" s="14">
        <f t="shared" si="175"/>
        <v>0</v>
      </c>
      <c r="AH209" s="14">
        <f t="shared" si="176"/>
        <v>0</v>
      </c>
      <c r="AI209" s="49" t="s">
        <v>59</v>
      </c>
      <c r="AJ209" s="14">
        <f t="shared" si="177"/>
        <v>0</v>
      </c>
      <c r="AK209" s="14">
        <f t="shared" si="178"/>
        <v>0</v>
      </c>
      <c r="AL209" s="14">
        <f t="shared" si="179"/>
        <v>0</v>
      </c>
      <c r="AN209" s="14">
        <v>21</v>
      </c>
      <c r="AO209" s="14">
        <f t="shared" si="180"/>
        <v>0</v>
      </c>
      <c r="AP209" s="14">
        <f t="shared" si="181"/>
        <v>0</v>
      </c>
      <c r="AQ209" s="65" t="s">
        <v>168</v>
      </c>
      <c r="AV209" s="14">
        <f t="shared" si="182"/>
        <v>0</v>
      </c>
      <c r="AW209" s="14">
        <f t="shared" si="183"/>
        <v>0</v>
      </c>
      <c r="AX209" s="14">
        <f t="shared" si="184"/>
        <v>0</v>
      </c>
      <c r="AY209" s="65" t="s">
        <v>514</v>
      </c>
      <c r="AZ209" s="65" t="s">
        <v>515</v>
      </c>
      <c r="BA209" s="49" t="s">
        <v>516</v>
      </c>
      <c r="BC209" s="14">
        <f t="shared" si="185"/>
        <v>0</v>
      </c>
      <c r="BD209" s="14">
        <f t="shared" si="186"/>
        <v>0</v>
      </c>
      <c r="BE209" s="14">
        <v>0</v>
      </c>
      <c r="BF209" s="14">
        <f>209</f>
        <v>209</v>
      </c>
      <c r="BH209" s="14">
        <f t="shared" si="187"/>
        <v>0</v>
      </c>
      <c r="BI209" s="14">
        <f t="shared" si="188"/>
        <v>0</v>
      </c>
      <c r="BJ209" s="14">
        <f t="shared" si="189"/>
        <v>0</v>
      </c>
      <c r="BK209" s="14"/>
      <c r="BL209" s="14"/>
      <c r="BW209" s="14">
        <v>21</v>
      </c>
      <c r="BX209" s="3" t="s">
        <v>547</v>
      </c>
    </row>
    <row r="210" spans="1:76" x14ac:dyDescent="0.25">
      <c r="A210" s="60" t="s">
        <v>20</v>
      </c>
      <c r="B210" s="61" t="s">
        <v>63</v>
      </c>
      <c r="C210" s="61" t="s">
        <v>20</v>
      </c>
      <c r="D210" s="162" t="s">
        <v>64</v>
      </c>
      <c r="E210" s="163"/>
      <c r="F210" s="62" t="s">
        <v>13</v>
      </c>
      <c r="G210" s="62" t="s">
        <v>13</v>
      </c>
      <c r="H210" s="63" t="s">
        <v>13</v>
      </c>
      <c r="I210" s="43">
        <f>I211+I214+I217+I229+I234+I244</f>
        <v>0</v>
      </c>
      <c r="K210" s="54"/>
    </row>
    <row r="211" spans="1:76" x14ac:dyDescent="0.25">
      <c r="A211" s="60" t="s">
        <v>20</v>
      </c>
      <c r="B211" s="61" t="s">
        <v>63</v>
      </c>
      <c r="C211" s="61" t="s">
        <v>23</v>
      </c>
      <c r="D211" s="162" t="s">
        <v>24</v>
      </c>
      <c r="E211" s="163"/>
      <c r="F211" s="62" t="s">
        <v>13</v>
      </c>
      <c r="G211" s="62" t="s">
        <v>13</v>
      </c>
      <c r="H211" s="63" t="s">
        <v>13</v>
      </c>
      <c r="I211" s="43">
        <f>SUM(I212:I213)</f>
        <v>0</v>
      </c>
      <c r="K211" s="54"/>
      <c r="AI211" s="49" t="s">
        <v>63</v>
      </c>
      <c r="AS211" s="43">
        <f>SUM(AJ212:AJ213)</f>
        <v>0</v>
      </c>
      <c r="AT211" s="43">
        <f>SUM(AK212:AK213)</f>
        <v>0</v>
      </c>
      <c r="AU211" s="43">
        <f>SUM(AL212:AL213)</f>
        <v>0</v>
      </c>
    </row>
    <row r="212" spans="1:76" ht="25.5" x14ac:dyDescent="0.25">
      <c r="A212" s="1" t="s">
        <v>549</v>
      </c>
      <c r="B212" s="2" t="s">
        <v>63</v>
      </c>
      <c r="C212" s="2" t="s">
        <v>550</v>
      </c>
      <c r="D212" s="81" t="s">
        <v>551</v>
      </c>
      <c r="E212" s="74"/>
      <c r="F212" s="2" t="s">
        <v>264</v>
      </c>
      <c r="G212" s="14">
        <v>50</v>
      </c>
      <c r="H212" s="64">
        <v>0</v>
      </c>
      <c r="I212" s="14">
        <f>G212*H212</f>
        <v>0</v>
      </c>
      <c r="K212" s="54"/>
      <c r="Z212" s="14">
        <f>IF(AQ212="5",BJ212,0)</f>
        <v>0</v>
      </c>
      <c r="AB212" s="14">
        <f>IF(AQ212="1",BH212,0)</f>
        <v>0</v>
      </c>
      <c r="AC212" s="14">
        <f>IF(AQ212="1",BI212,0)</f>
        <v>0</v>
      </c>
      <c r="AD212" s="14">
        <f>IF(AQ212="7",BH212,0)</f>
        <v>0</v>
      </c>
      <c r="AE212" s="14">
        <f>IF(AQ212="7",BI212,0)</f>
        <v>0</v>
      </c>
      <c r="AF212" s="14">
        <f>IF(AQ212="2",BH212,0)</f>
        <v>0</v>
      </c>
      <c r="AG212" s="14">
        <f>IF(AQ212="2",BI212,0)</f>
        <v>0</v>
      </c>
      <c r="AH212" s="14">
        <f>IF(AQ212="0",BJ212,0)</f>
        <v>0</v>
      </c>
      <c r="AI212" s="49" t="s">
        <v>63</v>
      </c>
      <c r="AJ212" s="14">
        <f>IF(AN212=0,I212,0)</f>
        <v>0</v>
      </c>
      <c r="AK212" s="14">
        <f>IF(AN212=12,I212,0)</f>
        <v>0</v>
      </c>
      <c r="AL212" s="14">
        <f>IF(AN212=21,I212,0)</f>
        <v>0</v>
      </c>
      <c r="AN212" s="14">
        <v>21</v>
      </c>
      <c r="AO212" s="14">
        <f>H212*0</f>
        <v>0</v>
      </c>
      <c r="AP212" s="14">
        <f>H212*(1-0)</f>
        <v>0</v>
      </c>
      <c r="AQ212" s="65" t="s">
        <v>168</v>
      </c>
      <c r="AV212" s="14">
        <f>AW212+AX212</f>
        <v>0</v>
      </c>
      <c r="AW212" s="14">
        <f>G212*AO212</f>
        <v>0</v>
      </c>
      <c r="AX212" s="14">
        <f>G212*AP212</f>
        <v>0</v>
      </c>
      <c r="AY212" s="65" t="s">
        <v>172</v>
      </c>
      <c r="AZ212" s="65" t="s">
        <v>552</v>
      </c>
      <c r="BA212" s="49" t="s">
        <v>553</v>
      </c>
      <c r="BC212" s="14">
        <f>AW212+AX212</f>
        <v>0</v>
      </c>
      <c r="BD212" s="14">
        <f>H212/(100-BE212)*100</f>
        <v>0</v>
      </c>
      <c r="BE212" s="14">
        <v>0</v>
      </c>
      <c r="BF212" s="14">
        <f>212</f>
        <v>212</v>
      </c>
      <c r="BH212" s="14">
        <f>G212*AO212</f>
        <v>0</v>
      </c>
      <c r="BI212" s="14">
        <f>G212*AP212</f>
        <v>0</v>
      </c>
      <c r="BJ212" s="14">
        <f>G212*H212</f>
        <v>0</v>
      </c>
      <c r="BK212" s="14"/>
      <c r="BL212" s="14">
        <v>11</v>
      </c>
      <c r="BW212" s="14">
        <v>21</v>
      </c>
      <c r="BX212" s="3" t="s">
        <v>551</v>
      </c>
    </row>
    <row r="213" spans="1:76" ht="25.5" x14ac:dyDescent="0.25">
      <c r="A213" s="1" t="s">
        <v>554</v>
      </c>
      <c r="B213" s="2" t="s">
        <v>63</v>
      </c>
      <c r="C213" s="2" t="s">
        <v>555</v>
      </c>
      <c r="D213" s="81" t="s">
        <v>556</v>
      </c>
      <c r="E213" s="74"/>
      <c r="F213" s="2" t="s">
        <v>264</v>
      </c>
      <c r="G213" s="14">
        <v>50</v>
      </c>
      <c r="H213" s="64">
        <v>0</v>
      </c>
      <c r="I213" s="14">
        <f>G213*H213</f>
        <v>0</v>
      </c>
      <c r="K213" s="54"/>
      <c r="Z213" s="14">
        <f>IF(AQ213="5",BJ213,0)</f>
        <v>0</v>
      </c>
      <c r="AB213" s="14">
        <f>IF(AQ213="1",BH213,0)</f>
        <v>0</v>
      </c>
      <c r="AC213" s="14">
        <f>IF(AQ213="1",BI213,0)</f>
        <v>0</v>
      </c>
      <c r="AD213" s="14">
        <f>IF(AQ213="7",BH213,0)</f>
        <v>0</v>
      </c>
      <c r="AE213" s="14">
        <f>IF(AQ213="7",BI213,0)</f>
        <v>0</v>
      </c>
      <c r="AF213" s="14">
        <f>IF(AQ213="2",BH213,0)</f>
        <v>0</v>
      </c>
      <c r="AG213" s="14">
        <f>IF(AQ213="2",BI213,0)</f>
        <v>0</v>
      </c>
      <c r="AH213" s="14">
        <f>IF(AQ213="0",BJ213,0)</f>
        <v>0</v>
      </c>
      <c r="AI213" s="49" t="s">
        <v>63</v>
      </c>
      <c r="AJ213" s="14">
        <f>IF(AN213=0,I213,0)</f>
        <v>0</v>
      </c>
      <c r="AK213" s="14">
        <f>IF(AN213=12,I213,0)</f>
        <v>0</v>
      </c>
      <c r="AL213" s="14">
        <f>IF(AN213=21,I213,0)</f>
        <v>0</v>
      </c>
      <c r="AN213" s="14">
        <v>21</v>
      </c>
      <c r="AO213" s="14">
        <f>H213*0</f>
        <v>0</v>
      </c>
      <c r="AP213" s="14">
        <f>H213*(1-0)</f>
        <v>0</v>
      </c>
      <c r="AQ213" s="65" t="s">
        <v>168</v>
      </c>
      <c r="AV213" s="14">
        <f>AW213+AX213</f>
        <v>0</v>
      </c>
      <c r="AW213" s="14">
        <f>G213*AO213</f>
        <v>0</v>
      </c>
      <c r="AX213" s="14">
        <f>G213*AP213</f>
        <v>0</v>
      </c>
      <c r="AY213" s="65" t="s">
        <v>172</v>
      </c>
      <c r="AZ213" s="65" t="s">
        <v>552</v>
      </c>
      <c r="BA213" s="49" t="s">
        <v>553</v>
      </c>
      <c r="BC213" s="14">
        <f>AW213+AX213</f>
        <v>0</v>
      </c>
      <c r="BD213" s="14">
        <f>H213/(100-BE213)*100</f>
        <v>0</v>
      </c>
      <c r="BE213" s="14">
        <v>0</v>
      </c>
      <c r="BF213" s="14">
        <f>213</f>
        <v>213</v>
      </c>
      <c r="BH213" s="14">
        <f>G213*AO213</f>
        <v>0</v>
      </c>
      <c r="BI213" s="14">
        <f>G213*AP213</f>
        <v>0</v>
      </c>
      <c r="BJ213" s="14">
        <f>G213*H213</f>
        <v>0</v>
      </c>
      <c r="BK213" s="14"/>
      <c r="BL213" s="14">
        <v>11</v>
      </c>
      <c r="BW213" s="14">
        <v>21</v>
      </c>
      <c r="BX213" s="3" t="s">
        <v>556</v>
      </c>
    </row>
    <row r="214" spans="1:76" x14ac:dyDescent="0.25">
      <c r="A214" s="60" t="s">
        <v>20</v>
      </c>
      <c r="B214" s="61" t="s">
        <v>63</v>
      </c>
      <c r="C214" s="61" t="s">
        <v>65</v>
      </c>
      <c r="D214" s="162" t="s">
        <v>66</v>
      </c>
      <c r="E214" s="163"/>
      <c r="F214" s="62" t="s">
        <v>13</v>
      </c>
      <c r="G214" s="62" t="s">
        <v>13</v>
      </c>
      <c r="H214" s="63" t="s">
        <v>13</v>
      </c>
      <c r="I214" s="43">
        <f>SUM(I215:I215)</f>
        <v>0</v>
      </c>
      <c r="K214" s="54"/>
      <c r="AI214" s="49" t="s">
        <v>63</v>
      </c>
      <c r="AS214" s="43">
        <f>SUM(AJ215:AJ215)</f>
        <v>0</v>
      </c>
      <c r="AT214" s="43">
        <f>SUM(AK215:AK215)</f>
        <v>0</v>
      </c>
      <c r="AU214" s="43">
        <f>SUM(AL215:AL215)</f>
        <v>0</v>
      </c>
    </row>
    <row r="215" spans="1:76" ht="25.5" x14ac:dyDescent="0.25">
      <c r="A215" s="1" t="s">
        <v>557</v>
      </c>
      <c r="B215" s="2" t="s">
        <v>63</v>
      </c>
      <c r="C215" s="2" t="s">
        <v>558</v>
      </c>
      <c r="D215" s="81" t="s">
        <v>559</v>
      </c>
      <c r="E215" s="74"/>
      <c r="F215" s="2" t="s">
        <v>171</v>
      </c>
      <c r="G215" s="14">
        <v>300</v>
      </c>
      <c r="H215" s="64">
        <v>0</v>
      </c>
      <c r="I215" s="14">
        <f>G215*H215</f>
        <v>0</v>
      </c>
      <c r="K215" s="54"/>
      <c r="Z215" s="14">
        <f>IF(AQ215="5",BJ215,0)</f>
        <v>0</v>
      </c>
      <c r="AB215" s="14">
        <f>IF(AQ215="1",BH215,0)</f>
        <v>0</v>
      </c>
      <c r="AC215" s="14">
        <f>IF(AQ215="1",BI215,0)</f>
        <v>0</v>
      </c>
      <c r="AD215" s="14">
        <f>IF(AQ215="7",BH215,0)</f>
        <v>0</v>
      </c>
      <c r="AE215" s="14">
        <f>IF(AQ215="7",BI215,0)</f>
        <v>0</v>
      </c>
      <c r="AF215" s="14">
        <f>IF(AQ215="2",BH215,0)</f>
        <v>0</v>
      </c>
      <c r="AG215" s="14">
        <f>IF(AQ215="2",BI215,0)</f>
        <v>0</v>
      </c>
      <c r="AH215" s="14">
        <f>IF(AQ215="0",BJ215,0)</f>
        <v>0</v>
      </c>
      <c r="AI215" s="49" t="s">
        <v>63</v>
      </c>
      <c r="AJ215" s="14">
        <f>IF(AN215=0,I215,0)</f>
        <v>0</v>
      </c>
      <c r="AK215" s="14">
        <f>IF(AN215=12,I215,0)</f>
        <v>0</v>
      </c>
      <c r="AL215" s="14">
        <f>IF(AN215=21,I215,0)</f>
        <v>0</v>
      </c>
      <c r="AN215" s="14">
        <v>21</v>
      </c>
      <c r="AO215" s="14">
        <f>H215*0</f>
        <v>0</v>
      </c>
      <c r="AP215" s="14">
        <f>H215*(1-0)</f>
        <v>0</v>
      </c>
      <c r="AQ215" s="65" t="s">
        <v>168</v>
      </c>
      <c r="AV215" s="14">
        <f>AW215+AX215</f>
        <v>0</v>
      </c>
      <c r="AW215" s="14">
        <f>G215*AO215</f>
        <v>0</v>
      </c>
      <c r="AX215" s="14">
        <f>G215*AP215</f>
        <v>0</v>
      </c>
      <c r="AY215" s="65" t="s">
        <v>560</v>
      </c>
      <c r="AZ215" s="65" t="s">
        <v>561</v>
      </c>
      <c r="BA215" s="49" t="s">
        <v>553</v>
      </c>
      <c r="BC215" s="14">
        <f>AW215+AX215</f>
        <v>0</v>
      </c>
      <c r="BD215" s="14">
        <f>H215/(100-BE215)*100</f>
        <v>0</v>
      </c>
      <c r="BE215" s="14">
        <v>0</v>
      </c>
      <c r="BF215" s="14">
        <f>215</f>
        <v>215</v>
      </c>
      <c r="BH215" s="14">
        <f>G215*AO215</f>
        <v>0</v>
      </c>
      <c r="BI215" s="14">
        <f>G215*AP215</f>
        <v>0</v>
      </c>
      <c r="BJ215" s="14">
        <f>G215*H215</f>
        <v>0</v>
      </c>
      <c r="BK215" s="14"/>
      <c r="BL215" s="14">
        <v>93</v>
      </c>
      <c r="BW215" s="14">
        <v>21</v>
      </c>
      <c r="BX215" s="3" t="s">
        <v>559</v>
      </c>
    </row>
    <row r="216" spans="1:76" x14ac:dyDescent="0.25">
      <c r="A216" s="60" t="s">
        <v>20</v>
      </c>
      <c r="B216" s="61" t="s">
        <v>63</v>
      </c>
      <c r="C216" s="61" t="s">
        <v>67</v>
      </c>
      <c r="D216" s="162" t="s">
        <v>68</v>
      </c>
      <c r="E216" s="163"/>
      <c r="F216" s="62" t="s">
        <v>13</v>
      </c>
      <c r="G216" s="62" t="s">
        <v>13</v>
      </c>
      <c r="H216" s="63" t="s">
        <v>13</v>
      </c>
      <c r="I216" s="43">
        <f>I217+I229+I234+I244</f>
        <v>0</v>
      </c>
      <c r="K216" s="54"/>
      <c r="AI216" s="49" t="s">
        <v>63</v>
      </c>
    </row>
    <row r="217" spans="1:76" x14ac:dyDescent="0.25">
      <c r="A217" s="60" t="s">
        <v>20</v>
      </c>
      <c r="B217" s="61" t="s">
        <v>63</v>
      </c>
      <c r="C217" s="61" t="s">
        <v>69</v>
      </c>
      <c r="D217" s="162" t="s">
        <v>70</v>
      </c>
      <c r="E217" s="163"/>
      <c r="F217" s="62" t="s">
        <v>13</v>
      </c>
      <c r="G217" s="62" t="s">
        <v>13</v>
      </c>
      <c r="H217" s="63" t="s">
        <v>13</v>
      </c>
      <c r="I217" s="43">
        <f>SUM(I218:I228)</f>
        <v>0</v>
      </c>
      <c r="K217" s="54"/>
      <c r="AI217" s="49" t="s">
        <v>63</v>
      </c>
      <c r="AS217" s="43">
        <f>SUM(AJ218:AJ228)</f>
        <v>0</v>
      </c>
      <c r="AT217" s="43">
        <f>SUM(AK218:AK228)</f>
        <v>0</v>
      </c>
      <c r="AU217" s="43">
        <f>SUM(AL218:AL228)</f>
        <v>0</v>
      </c>
    </row>
    <row r="218" spans="1:76" x14ac:dyDescent="0.25">
      <c r="A218" s="1" t="s">
        <v>562</v>
      </c>
      <c r="B218" s="2" t="s">
        <v>63</v>
      </c>
      <c r="C218" s="2" t="s">
        <v>563</v>
      </c>
      <c r="D218" s="81" t="s">
        <v>564</v>
      </c>
      <c r="E218" s="74"/>
      <c r="F218" s="2" t="s">
        <v>565</v>
      </c>
      <c r="G218" s="14">
        <v>1</v>
      </c>
      <c r="H218" s="64">
        <v>0</v>
      </c>
      <c r="I218" s="14">
        <f t="shared" ref="I218:I228" si="190">G218*H218</f>
        <v>0</v>
      </c>
      <c r="K218" s="54"/>
      <c r="Z218" s="14">
        <f t="shared" ref="Z218:Z228" si="191">IF(AQ218="5",BJ218,0)</f>
        <v>0</v>
      </c>
      <c r="AB218" s="14">
        <f t="shared" ref="AB218:AB228" si="192">IF(AQ218="1",BH218,0)</f>
        <v>0</v>
      </c>
      <c r="AC218" s="14">
        <f t="shared" ref="AC218:AC228" si="193">IF(AQ218="1",BI218,0)</f>
        <v>0</v>
      </c>
      <c r="AD218" s="14">
        <f t="shared" ref="AD218:AD228" si="194">IF(AQ218="7",BH218,0)</f>
        <v>0</v>
      </c>
      <c r="AE218" s="14">
        <f t="shared" ref="AE218:AE228" si="195">IF(AQ218="7",BI218,0)</f>
        <v>0</v>
      </c>
      <c r="AF218" s="14">
        <f t="shared" ref="AF218:AF228" si="196">IF(AQ218="2",BH218,0)</f>
        <v>0</v>
      </c>
      <c r="AG218" s="14">
        <f t="shared" ref="AG218:AG228" si="197">IF(AQ218="2",BI218,0)</f>
        <v>0</v>
      </c>
      <c r="AH218" s="14">
        <f t="shared" ref="AH218:AH228" si="198">IF(AQ218="0",BJ218,0)</f>
        <v>0</v>
      </c>
      <c r="AI218" s="49" t="s">
        <v>63</v>
      </c>
      <c r="AJ218" s="14">
        <f t="shared" ref="AJ218:AJ228" si="199">IF(AN218=0,I218,0)</f>
        <v>0</v>
      </c>
      <c r="AK218" s="14">
        <f t="shared" ref="AK218:AK228" si="200">IF(AN218=12,I218,0)</f>
        <v>0</v>
      </c>
      <c r="AL218" s="14">
        <f t="shared" ref="AL218:AL228" si="201">IF(AN218=21,I218,0)</f>
        <v>0</v>
      </c>
      <c r="AN218" s="14">
        <v>21</v>
      </c>
      <c r="AO218" s="14">
        <f t="shared" ref="AO218:AO228" si="202">H218*0</f>
        <v>0</v>
      </c>
      <c r="AP218" s="14">
        <f t="shared" ref="AP218:AP228" si="203">H218*(1-0)</f>
        <v>0</v>
      </c>
      <c r="AQ218" s="65" t="s">
        <v>168</v>
      </c>
      <c r="AV218" s="14">
        <f t="shared" ref="AV218:AV228" si="204">AW218+AX218</f>
        <v>0</v>
      </c>
      <c r="AW218" s="14">
        <f t="shared" ref="AW218:AW228" si="205">G218*AO218</f>
        <v>0</v>
      </c>
      <c r="AX218" s="14">
        <f t="shared" ref="AX218:AX228" si="206">G218*AP218</f>
        <v>0</v>
      </c>
      <c r="AY218" s="65" t="s">
        <v>566</v>
      </c>
      <c r="AZ218" s="65" t="s">
        <v>567</v>
      </c>
      <c r="BA218" s="49" t="s">
        <v>553</v>
      </c>
      <c r="BC218" s="14">
        <f t="shared" ref="BC218:BC228" si="207">AW218+AX218</f>
        <v>0</v>
      </c>
      <c r="BD218" s="14">
        <f t="shared" ref="BD218:BD228" si="208">H218/(100-BE218)*100</f>
        <v>0</v>
      </c>
      <c r="BE218" s="14">
        <v>0</v>
      </c>
      <c r="BF218" s="14">
        <f>218</f>
        <v>218</v>
      </c>
      <c r="BH218" s="14">
        <f t="shared" ref="BH218:BH228" si="209">G218*AO218</f>
        <v>0</v>
      </c>
      <c r="BI218" s="14">
        <f t="shared" ref="BI218:BI228" si="210">G218*AP218</f>
        <v>0</v>
      </c>
      <c r="BJ218" s="14">
        <f t="shared" ref="BJ218:BJ228" si="211">G218*H218</f>
        <v>0</v>
      </c>
      <c r="BK218" s="14"/>
      <c r="BL218" s="14"/>
      <c r="BM218" s="14">
        <f t="shared" ref="BM218:BM228" si="212">G218*H218</f>
        <v>0</v>
      </c>
      <c r="BW218" s="14">
        <v>21</v>
      </c>
      <c r="BX218" s="3" t="s">
        <v>564</v>
      </c>
    </row>
    <row r="219" spans="1:76" x14ac:dyDescent="0.25">
      <c r="A219" s="1" t="s">
        <v>568</v>
      </c>
      <c r="B219" s="2" t="s">
        <v>63</v>
      </c>
      <c r="C219" s="2" t="s">
        <v>569</v>
      </c>
      <c r="D219" s="81" t="s">
        <v>570</v>
      </c>
      <c r="E219" s="74"/>
      <c r="F219" s="2" t="s">
        <v>565</v>
      </c>
      <c r="G219" s="14">
        <v>1</v>
      </c>
      <c r="H219" s="64">
        <v>0</v>
      </c>
      <c r="I219" s="14">
        <f t="shared" si="190"/>
        <v>0</v>
      </c>
      <c r="K219" s="54"/>
      <c r="Z219" s="14">
        <f t="shared" si="191"/>
        <v>0</v>
      </c>
      <c r="AB219" s="14">
        <f t="shared" si="192"/>
        <v>0</v>
      </c>
      <c r="AC219" s="14">
        <f t="shared" si="193"/>
        <v>0</v>
      </c>
      <c r="AD219" s="14">
        <f t="shared" si="194"/>
        <v>0</v>
      </c>
      <c r="AE219" s="14">
        <f t="shared" si="195"/>
        <v>0</v>
      </c>
      <c r="AF219" s="14">
        <f t="shared" si="196"/>
        <v>0</v>
      </c>
      <c r="AG219" s="14">
        <f t="shared" si="197"/>
        <v>0</v>
      </c>
      <c r="AH219" s="14">
        <f t="shared" si="198"/>
        <v>0</v>
      </c>
      <c r="AI219" s="49" t="s">
        <v>63</v>
      </c>
      <c r="AJ219" s="14">
        <f t="shared" si="199"/>
        <v>0</v>
      </c>
      <c r="AK219" s="14">
        <f t="shared" si="200"/>
        <v>0</v>
      </c>
      <c r="AL219" s="14">
        <f t="shared" si="201"/>
        <v>0</v>
      </c>
      <c r="AN219" s="14">
        <v>21</v>
      </c>
      <c r="AO219" s="14">
        <f t="shared" si="202"/>
        <v>0</v>
      </c>
      <c r="AP219" s="14">
        <f t="shared" si="203"/>
        <v>0</v>
      </c>
      <c r="AQ219" s="65" t="s">
        <v>168</v>
      </c>
      <c r="AV219" s="14">
        <f t="shared" si="204"/>
        <v>0</v>
      </c>
      <c r="AW219" s="14">
        <f t="shared" si="205"/>
        <v>0</v>
      </c>
      <c r="AX219" s="14">
        <f t="shared" si="206"/>
        <v>0</v>
      </c>
      <c r="AY219" s="65" t="s">
        <v>566</v>
      </c>
      <c r="AZ219" s="65" t="s">
        <v>567</v>
      </c>
      <c r="BA219" s="49" t="s">
        <v>553</v>
      </c>
      <c r="BC219" s="14">
        <f t="shared" si="207"/>
        <v>0</v>
      </c>
      <c r="BD219" s="14">
        <f t="shared" si="208"/>
        <v>0</v>
      </c>
      <c r="BE219" s="14">
        <v>0</v>
      </c>
      <c r="BF219" s="14">
        <f>219</f>
        <v>219</v>
      </c>
      <c r="BH219" s="14">
        <f t="shared" si="209"/>
        <v>0</v>
      </c>
      <c r="BI219" s="14">
        <f t="shared" si="210"/>
        <v>0</v>
      </c>
      <c r="BJ219" s="14">
        <f t="shared" si="211"/>
        <v>0</v>
      </c>
      <c r="BK219" s="14"/>
      <c r="BL219" s="14"/>
      <c r="BM219" s="14">
        <f t="shared" si="212"/>
        <v>0</v>
      </c>
      <c r="BW219" s="14">
        <v>21</v>
      </c>
      <c r="BX219" s="3" t="s">
        <v>570</v>
      </c>
    </row>
    <row r="220" spans="1:76" x14ac:dyDescent="0.25">
      <c r="A220" s="1" t="s">
        <v>571</v>
      </c>
      <c r="B220" s="2" t="s">
        <v>63</v>
      </c>
      <c r="C220" s="2" t="s">
        <v>572</v>
      </c>
      <c r="D220" s="81" t="s">
        <v>573</v>
      </c>
      <c r="E220" s="74"/>
      <c r="F220" s="2" t="s">
        <v>565</v>
      </c>
      <c r="G220" s="14">
        <v>1</v>
      </c>
      <c r="H220" s="64">
        <v>0</v>
      </c>
      <c r="I220" s="14">
        <f t="shared" si="190"/>
        <v>0</v>
      </c>
      <c r="K220" s="54"/>
      <c r="Z220" s="14">
        <f t="shared" si="191"/>
        <v>0</v>
      </c>
      <c r="AB220" s="14">
        <f t="shared" si="192"/>
        <v>0</v>
      </c>
      <c r="AC220" s="14">
        <f t="shared" si="193"/>
        <v>0</v>
      </c>
      <c r="AD220" s="14">
        <f t="shared" si="194"/>
        <v>0</v>
      </c>
      <c r="AE220" s="14">
        <f t="shared" si="195"/>
        <v>0</v>
      </c>
      <c r="AF220" s="14">
        <f t="shared" si="196"/>
        <v>0</v>
      </c>
      <c r="AG220" s="14">
        <f t="shared" si="197"/>
        <v>0</v>
      </c>
      <c r="AH220" s="14">
        <f t="shared" si="198"/>
        <v>0</v>
      </c>
      <c r="AI220" s="49" t="s">
        <v>63</v>
      </c>
      <c r="AJ220" s="14">
        <f t="shared" si="199"/>
        <v>0</v>
      </c>
      <c r="AK220" s="14">
        <f t="shared" si="200"/>
        <v>0</v>
      </c>
      <c r="AL220" s="14">
        <f t="shared" si="201"/>
        <v>0</v>
      </c>
      <c r="AN220" s="14">
        <v>21</v>
      </c>
      <c r="AO220" s="14">
        <f t="shared" si="202"/>
        <v>0</v>
      </c>
      <c r="AP220" s="14">
        <f t="shared" si="203"/>
        <v>0</v>
      </c>
      <c r="AQ220" s="65" t="s">
        <v>168</v>
      </c>
      <c r="AV220" s="14">
        <f t="shared" si="204"/>
        <v>0</v>
      </c>
      <c r="AW220" s="14">
        <f t="shared" si="205"/>
        <v>0</v>
      </c>
      <c r="AX220" s="14">
        <f t="shared" si="206"/>
        <v>0</v>
      </c>
      <c r="AY220" s="65" t="s">
        <v>566</v>
      </c>
      <c r="AZ220" s="65" t="s">
        <v>567</v>
      </c>
      <c r="BA220" s="49" t="s">
        <v>553</v>
      </c>
      <c r="BC220" s="14">
        <f t="shared" si="207"/>
        <v>0</v>
      </c>
      <c r="BD220" s="14">
        <f t="shared" si="208"/>
        <v>0</v>
      </c>
      <c r="BE220" s="14">
        <v>0</v>
      </c>
      <c r="BF220" s="14">
        <f>220</f>
        <v>220</v>
      </c>
      <c r="BH220" s="14">
        <f t="shared" si="209"/>
        <v>0</v>
      </c>
      <c r="BI220" s="14">
        <f t="shared" si="210"/>
        <v>0</v>
      </c>
      <c r="BJ220" s="14">
        <f t="shared" si="211"/>
        <v>0</v>
      </c>
      <c r="BK220" s="14"/>
      <c r="BL220" s="14"/>
      <c r="BM220" s="14">
        <f t="shared" si="212"/>
        <v>0</v>
      </c>
      <c r="BW220" s="14">
        <v>21</v>
      </c>
      <c r="BX220" s="3" t="s">
        <v>573</v>
      </c>
    </row>
    <row r="221" spans="1:76" x14ac:dyDescent="0.25">
      <c r="A221" s="1" t="s">
        <v>574</v>
      </c>
      <c r="B221" s="2" t="s">
        <v>63</v>
      </c>
      <c r="C221" s="2" t="s">
        <v>575</v>
      </c>
      <c r="D221" s="81" t="s">
        <v>576</v>
      </c>
      <c r="E221" s="74"/>
      <c r="F221" s="2" t="s">
        <v>565</v>
      </c>
      <c r="G221" s="14">
        <v>1</v>
      </c>
      <c r="H221" s="64">
        <v>0</v>
      </c>
      <c r="I221" s="14">
        <f t="shared" si="190"/>
        <v>0</v>
      </c>
      <c r="K221" s="54"/>
      <c r="Z221" s="14">
        <f t="shared" si="191"/>
        <v>0</v>
      </c>
      <c r="AB221" s="14">
        <f t="shared" si="192"/>
        <v>0</v>
      </c>
      <c r="AC221" s="14">
        <f t="shared" si="193"/>
        <v>0</v>
      </c>
      <c r="AD221" s="14">
        <f t="shared" si="194"/>
        <v>0</v>
      </c>
      <c r="AE221" s="14">
        <f t="shared" si="195"/>
        <v>0</v>
      </c>
      <c r="AF221" s="14">
        <f t="shared" si="196"/>
        <v>0</v>
      </c>
      <c r="AG221" s="14">
        <f t="shared" si="197"/>
        <v>0</v>
      </c>
      <c r="AH221" s="14">
        <f t="shared" si="198"/>
        <v>0</v>
      </c>
      <c r="AI221" s="49" t="s">
        <v>63</v>
      </c>
      <c r="AJ221" s="14">
        <f t="shared" si="199"/>
        <v>0</v>
      </c>
      <c r="AK221" s="14">
        <f t="shared" si="200"/>
        <v>0</v>
      </c>
      <c r="AL221" s="14">
        <f t="shared" si="201"/>
        <v>0</v>
      </c>
      <c r="AN221" s="14">
        <v>21</v>
      </c>
      <c r="AO221" s="14">
        <f t="shared" si="202"/>
        <v>0</v>
      </c>
      <c r="AP221" s="14">
        <f t="shared" si="203"/>
        <v>0</v>
      </c>
      <c r="AQ221" s="65" t="s">
        <v>168</v>
      </c>
      <c r="AV221" s="14">
        <f t="shared" si="204"/>
        <v>0</v>
      </c>
      <c r="AW221" s="14">
        <f t="shared" si="205"/>
        <v>0</v>
      </c>
      <c r="AX221" s="14">
        <f t="shared" si="206"/>
        <v>0</v>
      </c>
      <c r="AY221" s="65" t="s">
        <v>566</v>
      </c>
      <c r="AZ221" s="65" t="s">
        <v>567</v>
      </c>
      <c r="BA221" s="49" t="s">
        <v>553</v>
      </c>
      <c r="BC221" s="14">
        <f t="shared" si="207"/>
        <v>0</v>
      </c>
      <c r="BD221" s="14">
        <f t="shared" si="208"/>
        <v>0</v>
      </c>
      <c r="BE221" s="14">
        <v>0</v>
      </c>
      <c r="BF221" s="14">
        <f>221</f>
        <v>221</v>
      </c>
      <c r="BH221" s="14">
        <f t="shared" si="209"/>
        <v>0</v>
      </c>
      <c r="BI221" s="14">
        <f t="shared" si="210"/>
        <v>0</v>
      </c>
      <c r="BJ221" s="14">
        <f t="shared" si="211"/>
        <v>0</v>
      </c>
      <c r="BK221" s="14"/>
      <c r="BL221" s="14"/>
      <c r="BM221" s="14">
        <f t="shared" si="212"/>
        <v>0</v>
      </c>
      <c r="BW221" s="14">
        <v>21</v>
      </c>
      <c r="BX221" s="3" t="s">
        <v>576</v>
      </c>
    </row>
    <row r="222" spans="1:76" x14ac:dyDescent="0.25">
      <c r="A222" s="1" t="s">
        <v>577</v>
      </c>
      <c r="B222" s="2" t="s">
        <v>63</v>
      </c>
      <c r="C222" s="2" t="s">
        <v>578</v>
      </c>
      <c r="D222" s="81" t="s">
        <v>579</v>
      </c>
      <c r="E222" s="74"/>
      <c r="F222" s="2" t="s">
        <v>565</v>
      </c>
      <c r="G222" s="14">
        <v>1</v>
      </c>
      <c r="H222" s="64">
        <v>0</v>
      </c>
      <c r="I222" s="14">
        <f t="shared" si="190"/>
        <v>0</v>
      </c>
      <c r="K222" s="54"/>
      <c r="Z222" s="14">
        <f t="shared" si="191"/>
        <v>0</v>
      </c>
      <c r="AB222" s="14">
        <f t="shared" si="192"/>
        <v>0</v>
      </c>
      <c r="AC222" s="14">
        <f t="shared" si="193"/>
        <v>0</v>
      </c>
      <c r="AD222" s="14">
        <f t="shared" si="194"/>
        <v>0</v>
      </c>
      <c r="AE222" s="14">
        <f t="shared" si="195"/>
        <v>0</v>
      </c>
      <c r="AF222" s="14">
        <f t="shared" si="196"/>
        <v>0</v>
      </c>
      <c r="AG222" s="14">
        <f t="shared" si="197"/>
        <v>0</v>
      </c>
      <c r="AH222" s="14">
        <f t="shared" si="198"/>
        <v>0</v>
      </c>
      <c r="AI222" s="49" t="s">
        <v>63</v>
      </c>
      <c r="AJ222" s="14">
        <f t="shared" si="199"/>
        <v>0</v>
      </c>
      <c r="AK222" s="14">
        <f t="shared" si="200"/>
        <v>0</v>
      </c>
      <c r="AL222" s="14">
        <f t="shared" si="201"/>
        <v>0</v>
      </c>
      <c r="AN222" s="14">
        <v>21</v>
      </c>
      <c r="AO222" s="14">
        <f t="shared" si="202"/>
        <v>0</v>
      </c>
      <c r="AP222" s="14">
        <f t="shared" si="203"/>
        <v>0</v>
      </c>
      <c r="AQ222" s="65" t="s">
        <v>168</v>
      </c>
      <c r="AV222" s="14">
        <f t="shared" si="204"/>
        <v>0</v>
      </c>
      <c r="AW222" s="14">
        <f t="shared" si="205"/>
        <v>0</v>
      </c>
      <c r="AX222" s="14">
        <f t="shared" si="206"/>
        <v>0</v>
      </c>
      <c r="AY222" s="65" t="s">
        <v>566</v>
      </c>
      <c r="AZ222" s="65" t="s">
        <v>567</v>
      </c>
      <c r="BA222" s="49" t="s">
        <v>553</v>
      </c>
      <c r="BC222" s="14">
        <f t="shared" si="207"/>
        <v>0</v>
      </c>
      <c r="BD222" s="14">
        <f t="shared" si="208"/>
        <v>0</v>
      </c>
      <c r="BE222" s="14">
        <v>0</v>
      </c>
      <c r="BF222" s="14">
        <f>222</f>
        <v>222</v>
      </c>
      <c r="BH222" s="14">
        <f t="shared" si="209"/>
        <v>0</v>
      </c>
      <c r="BI222" s="14">
        <f t="shared" si="210"/>
        <v>0</v>
      </c>
      <c r="BJ222" s="14">
        <f t="shared" si="211"/>
        <v>0</v>
      </c>
      <c r="BK222" s="14"/>
      <c r="BL222" s="14"/>
      <c r="BM222" s="14">
        <f t="shared" si="212"/>
        <v>0</v>
      </c>
      <c r="BW222" s="14">
        <v>21</v>
      </c>
      <c r="BX222" s="3" t="s">
        <v>579</v>
      </c>
    </row>
    <row r="223" spans="1:76" x14ac:dyDescent="0.25">
      <c r="A223" s="1" t="s">
        <v>580</v>
      </c>
      <c r="B223" s="2" t="s">
        <v>63</v>
      </c>
      <c r="C223" s="2" t="s">
        <v>581</v>
      </c>
      <c r="D223" s="81" t="s">
        <v>582</v>
      </c>
      <c r="E223" s="74"/>
      <c r="F223" s="2" t="s">
        <v>565</v>
      </c>
      <c r="G223" s="14">
        <v>1</v>
      </c>
      <c r="H223" s="64">
        <v>0</v>
      </c>
      <c r="I223" s="14">
        <f t="shared" si="190"/>
        <v>0</v>
      </c>
      <c r="K223" s="54"/>
      <c r="Z223" s="14">
        <f t="shared" si="191"/>
        <v>0</v>
      </c>
      <c r="AB223" s="14">
        <f t="shared" si="192"/>
        <v>0</v>
      </c>
      <c r="AC223" s="14">
        <f t="shared" si="193"/>
        <v>0</v>
      </c>
      <c r="AD223" s="14">
        <f t="shared" si="194"/>
        <v>0</v>
      </c>
      <c r="AE223" s="14">
        <f t="shared" si="195"/>
        <v>0</v>
      </c>
      <c r="AF223" s="14">
        <f t="shared" si="196"/>
        <v>0</v>
      </c>
      <c r="AG223" s="14">
        <f t="shared" si="197"/>
        <v>0</v>
      </c>
      <c r="AH223" s="14">
        <f t="shared" si="198"/>
        <v>0</v>
      </c>
      <c r="AI223" s="49" t="s">
        <v>63</v>
      </c>
      <c r="AJ223" s="14">
        <f t="shared" si="199"/>
        <v>0</v>
      </c>
      <c r="AK223" s="14">
        <f t="shared" si="200"/>
        <v>0</v>
      </c>
      <c r="AL223" s="14">
        <f t="shared" si="201"/>
        <v>0</v>
      </c>
      <c r="AN223" s="14">
        <v>21</v>
      </c>
      <c r="AO223" s="14">
        <f t="shared" si="202"/>
        <v>0</v>
      </c>
      <c r="AP223" s="14">
        <f t="shared" si="203"/>
        <v>0</v>
      </c>
      <c r="AQ223" s="65" t="s">
        <v>168</v>
      </c>
      <c r="AV223" s="14">
        <f t="shared" si="204"/>
        <v>0</v>
      </c>
      <c r="AW223" s="14">
        <f t="shared" si="205"/>
        <v>0</v>
      </c>
      <c r="AX223" s="14">
        <f t="shared" si="206"/>
        <v>0</v>
      </c>
      <c r="AY223" s="65" t="s">
        <v>566</v>
      </c>
      <c r="AZ223" s="65" t="s">
        <v>567</v>
      </c>
      <c r="BA223" s="49" t="s">
        <v>553</v>
      </c>
      <c r="BC223" s="14">
        <f t="shared" si="207"/>
        <v>0</v>
      </c>
      <c r="BD223" s="14">
        <f t="shared" si="208"/>
        <v>0</v>
      </c>
      <c r="BE223" s="14">
        <v>0</v>
      </c>
      <c r="BF223" s="14">
        <f>223</f>
        <v>223</v>
      </c>
      <c r="BH223" s="14">
        <f t="shared" si="209"/>
        <v>0</v>
      </c>
      <c r="BI223" s="14">
        <f t="shared" si="210"/>
        <v>0</v>
      </c>
      <c r="BJ223" s="14">
        <f t="shared" si="211"/>
        <v>0</v>
      </c>
      <c r="BK223" s="14"/>
      <c r="BL223" s="14"/>
      <c r="BM223" s="14">
        <f t="shared" si="212"/>
        <v>0</v>
      </c>
      <c r="BW223" s="14">
        <v>21</v>
      </c>
      <c r="BX223" s="3" t="s">
        <v>582</v>
      </c>
    </row>
    <row r="224" spans="1:76" x14ac:dyDescent="0.25">
      <c r="A224" s="1" t="s">
        <v>583</v>
      </c>
      <c r="B224" s="2" t="s">
        <v>63</v>
      </c>
      <c r="C224" s="2" t="s">
        <v>584</v>
      </c>
      <c r="D224" s="81" t="s">
        <v>585</v>
      </c>
      <c r="E224" s="74"/>
      <c r="F224" s="2" t="s">
        <v>565</v>
      </c>
      <c r="G224" s="14">
        <v>1</v>
      </c>
      <c r="H224" s="64">
        <v>0</v>
      </c>
      <c r="I224" s="14">
        <f t="shared" si="190"/>
        <v>0</v>
      </c>
      <c r="K224" s="54"/>
      <c r="Z224" s="14">
        <f t="shared" si="191"/>
        <v>0</v>
      </c>
      <c r="AB224" s="14">
        <f t="shared" si="192"/>
        <v>0</v>
      </c>
      <c r="AC224" s="14">
        <f t="shared" si="193"/>
        <v>0</v>
      </c>
      <c r="AD224" s="14">
        <f t="shared" si="194"/>
        <v>0</v>
      </c>
      <c r="AE224" s="14">
        <f t="shared" si="195"/>
        <v>0</v>
      </c>
      <c r="AF224" s="14">
        <f t="shared" si="196"/>
        <v>0</v>
      </c>
      <c r="AG224" s="14">
        <f t="shared" si="197"/>
        <v>0</v>
      </c>
      <c r="AH224" s="14">
        <f t="shared" si="198"/>
        <v>0</v>
      </c>
      <c r="AI224" s="49" t="s">
        <v>63</v>
      </c>
      <c r="AJ224" s="14">
        <f t="shared" si="199"/>
        <v>0</v>
      </c>
      <c r="AK224" s="14">
        <f t="shared" si="200"/>
        <v>0</v>
      </c>
      <c r="AL224" s="14">
        <f t="shared" si="201"/>
        <v>0</v>
      </c>
      <c r="AN224" s="14">
        <v>21</v>
      </c>
      <c r="AO224" s="14">
        <f t="shared" si="202"/>
        <v>0</v>
      </c>
      <c r="AP224" s="14">
        <f t="shared" si="203"/>
        <v>0</v>
      </c>
      <c r="AQ224" s="65" t="s">
        <v>168</v>
      </c>
      <c r="AV224" s="14">
        <f t="shared" si="204"/>
        <v>0</v>
      </c>
      <c r="AW224" s="14">
        <f t="shared" si="205"/>
        <v>0</v>
      </c>
      <c r="AX224" s="14">
        <f t="shared" si="206"/>
        <v>0</v>
      </c>
      <c r="AY224" s="65" t="s">
        <v>566</v>
      </c>
      <c r="AZ224" s="65" t="s">
        <v>567</v>
      </c>
      <c r="BA224" s="49" t="s">
        <v>553</v>
      </c>
      <c r="BC224" s="14">
        <f t="shared" si="207"/>
        <v>0</v>
      </c>
      <c r="BD224" s="14">
        <f t="shared" si="208"/>
        <v>0</v>
      </c>
      <c r="BE224" s="14">
        <v>0</v>
      </c>
      <c r="BF224" s="14">
        <f>224</f>
        <v>224</v>
      </c>
      <c r="BH224" s="14">
        <f t="shared" si="209"/>
        <v>0</v>
      </c>
      <c r="BI224" s="14">
        <f t="shared" si="210"/>
        <v>0</v>
      </c>
      <c r="BJ224" s="14">
        <f t="shared" si="211"/>
        <v>0</v>
      </c>
      <c r="BK224" s="14"/>
      <c r="BL224" s="14"/>
      <c r="BM224" s="14">
        <f t="shared" si="212"/>
        <v>0</v>
      </c>
      <c r="BW224" s="14">
        <v>21</v>
      </c>
      <c r="BX224" s="3" t="s">
        <v>585</v>
      </c>
    </row>
    <row r="225" spans="1:76" x14ac:dyDescent="0.25">
      <c r="A225" s="1" t="s">
        <v>586</v>
      </c>
      <c r="B225" s="2" t="s">
        <v>63</v>
      </c>
      <c r="C225" s="2" t="s">
        <v>587</v>
      </c>
      <c r="D225" s="81" t="s">
        <v>588</v>
      </c>
      <c r="E225" s="74"/>
      <c r="F225" s="2" t="s">
        <v>565</v>
      </c>
      <c r="G225" s="14">
        <v>1</v>
      </c>
      <c r="H225" s="64">
        <v>0</v>
      </c>
      <c r="I225" s="14">
        <f t="shared" si="190"/>
        <v>0</v>
      </c>
      <c r="K225" s="54"/>
      <c r="Z225" s="14">
        <f t="shared" si="191"/>
        <v>0</v>
      </c>
      <c r="AB225" s="14">
        <f t="shared" si="192"/>
        <v>0</v>
      </c>
      <c r="AC225" s="14">
        <f t="shared" si="193"/>
        <v>0</v>
      </c>
      <c r="AD225" s="14">
        <f t="shared" si="194"/>
        <v>0</v>
      </c>
      <c r="AE225" s="14">
        <f t="shared" si="195"/>
        <v>0</v>
      </c>
      <c r="AF225" s="14">
        <f t="shared" si="196"/>
        <v>0</v>
      </c>
      <c r="AG225" s="14">
        <f t="shared" si="197"/>
        <v>0</v>
      </c>
      <c r="AH225" s="14">
        <f t="shared" si="198"/>
        <v>0</v>
      </c>
      <c r="AI225" s="49" t="s">
        <v>63</v>
      </c>
      <c r="AJ225" s="14">
        <f t="shared" si="199"/>
        <v>0</v>
      </c>
      <c r="AK225" s="14">
        <f t="shared" si="200"/>
        <v>0</v>
      </c>
      <c r="AL225" s="14">
        <f t="shared" si="201"/>
        <v>0</v>
      </c>
      <c r="AN225" s="14">
        <v>21</v>
      </c>
      <c r="AO225" s="14">
        <f t="shared" si="202"/>
        <v>0</v>
      </c>
      <c r="AP225" s="14">
        <f t="shared" si="203"/>
        <v>0</v>
      </c>
      <c r="AQ225" s="65" t="s">
        <v>168</v>
      </c>
      <c r="AV225" s="14">
        <f t="shared" si="204"/>
        <v>0</v>
      </c>
      <c r="AW225" s="14">
        <f t="shared" si="205"/>
        <v>0</v>
      </c>
      <c r="AX225" s="14">
        <f t="shared" si="206"/>
        <v>0</v>
      </c>
      <c r="AY225" s="65" t="s">
        <v>566</v>
      </c>
      <c r="AZ225" s="65" t="s">
        <v>567</v>
      </c>
      <c r="BA225" s="49" t="s">
        <v>553</v>
      </c>
      <c r="BC225" s="14">
        <f t="shared" si="207"/>
        <v>0</v>
      </c>
      <c r="BD225" s="14">
        <f t="shared" si="208"/>
        <v>0</v>
      </c>
      <c r="BE225" s="14">
        <v>0</v>
      </c>
      <c r="BF225" s="14">
        <f>225</f>
        <v>225</v>
      </c>
      <c r="BH225" s="14">
        <f t="shared" si="209"/>
        <v>0</v>
      </c>
      <c r="BI225" s="14">
        <f t="shared" si="210"/>
        <v>0</v>
      </c>
      <c r="BJ225" s="14">
        <f t="shared" si="211"/>
        <v>0</v>
      </c>
      <c r="BK225" s="14"/>
      <c r="BL225" s="14"/>
      <c r="BM225" s="14">
        <f t="shared" si="212"/>
        <v>0</v>
      </c>
      <c r="BW225" s="14">
        <v>21</v>
      </c>
      <c r="BX225" s="3" t="s">
        <v>588</v>
      </c>
    </row>
    <row r="226" spans="1:76" ht="25.5" x14ac:dyDescent="0.25">
      <c r="A226" s="1" t="s">
        <v>589</v>
      </c>
      <c r="B226" s="2" t="s">
        <v>63</v>
      </c>
      <c r="C226" s="2" t="s">
        <v>590</v>
      </c>
      <c r="D226" s="81" t="s">
        <v>591</v>
      </c>
      <c r="E226" s="74"/>
      <c r="F226" s="2" t="s">
        <v>565</v>
      </c>
      <c r="G226" s="14">
        <v>1</v>
      </c>
      <c r="H226" s="64">
        <v>0</v>
      </c>
      <c r="I226" s="14">
        <f t="shared" si="190"/>
        <v>0</v>
      </c>
      <c r="K226" s="54"/>
      <c r="Z226" s="14">
        <f t="shared" si="191"/>
        <v>0</v>
      </c>
      <c r="AB226" s="14">
        <f t="shared" si="192"/>
        <v>0</v>
      </c>
      <c r="AC226" s="14">
        <f t="shared" si="193"/>
        <v>0</v>
      </c>
      <c r="AD226" s="14">
        <f t="shared" si="194"/>
        <v>0</v>
      </c>
      <c r="AE226" s="14">
        <f t="shared" si="195"/>
        <v>0</v>
      </c>
      <c r="AF226" s="14">
        <f t="shared" si="196"/>
        <v>0</v>
      </c>
      <c r="AG226" s="14">
        <f t="shared" si="197"/>
        <v>0</v>
      </c>
      <c r="AH226" s="14">
        <f t="shared" si="198"/>
        <v>0</v>
      </c>
      <c r="AI226" s="49" t="s">
        <v>63</v>
      </c>
      <c r="AJ226" s="14">
        <f t="shared" si="199"/>
        <v>0</v>
      </c>
      <c r="AK226" s="14">
        <f t="shared" si="200"/>
        <v>0</v>
      </c>
      <c r="AL226" s="14">
        <f t="shared" si="201"/>
        <v>0</v>
      </c>
      <c r="AN226" s="14">
        <v>21</v>
      </c>
      <c r="AO226" s="14">
        <f t="shared" si="202"/>
        <v>0</v>
      </c>
      <c r="AP226" s="14">
        <f t="shared" si="203"/>
        <v>0</v>
      </c>
      <c r="AQ226" s="65" t="s">
        <v>168</v>
      </c>
      <c r="AV226" s="14">
        <f t="shared" si="204"/>
        <v>0</v>
      </c>
      <c r="AW226" s="14">
        <f t="shared" si="205"/>
        <v>0</v>
      </c>
      <c r="AX226" s="14">
        <f t="shared" si="206"/>
        <v>0</v>
      </c>
      <c r="AY226" s="65" t="s">
        <v>566</v>
      </c>
      <c r="AZ226" s="65" t="s">
        <v>567</v>
      </c>
      <c r="BA226" s="49" t="s">
        <v>553</v>
      </c>
      <c r="BC226" s="14">
        <f t="shared" si="207"/>
        <v>0</v>
      </c>
      <c r="BD226" s="14">
        <f t="shared" si="208"/>
        <v>0</v>
      </c>
      <c r="BE226" s="14">
        <v>0</v>
      </c>
      <c r="BF226" s="14">
        <f>226</f>
        <v>226</v>
      </c>
      <c r="BH226" s="14">
        <f t="shared" si="209"/>
        <v>0</v>
      </c>
      <c r="BI226" s="14">
        <f t="shared" si="210"/>
        <v>0</v>
      </c>
      <c r="BJ226" s="14">
        <f t="shared" si="211"/>
        <v>0</v>
      </c>
      <c r="BK226" s="14"/>
      <c r="BL226" s="14"/>
      <c r="BM226" s="14">
        <f t="shared" si="212"/>
        <v>0</v>
      </c>
      <c r="BW226" s="14">
        <v>21</v>
      </c>
      <c r="BX226" s="3" t="s">
        <v>591</v>
      </c>
    </row>
    <row r="227" spans="1:76" x14ac:dyDescent="0.25">
      <c r="A227" s="1" t="s">
        <v>592</v>
      </c>
      <c r="B227" s="2" t="s">
        <v>63</v>
      </c>
      <c r="C227" s="2" t="s">
        <v>593</v>
      </c>
      <c r="D227" s="81" t="s">
        <v>594</v>
      </c>
      <c r="E227" s="74"/>
      <c r="F227" s="2" t="s">
        <v>565</v>
      </c>
      <c r="G227" s="14">
        <v>1</v>
      </c>
      <c r="H227" s="64">
        <v>0</v>
      </c>
      <c r="I227" s="14">
        <f t="shared" si="190"/>
        <v>0</v>
      </c>
      <c r="K227" s="54"/>
      <c r="Z227" s="14">
        <f t="shared" si="191"/>
        <v>0</v>
      </c>
      <c r="AB227" s="14">
        <f t="shared" si="192"/>
        <v>0</v>
      </c>
      <c r="AC227" s="14">
        <f t="shared" si="193"/>
        <v>0</v>
      </c>
      <c r="AD227" s="14">
        <f t="shared" si="194"/>
        <v>0</v>
      </c>
      <c r="AE227" s="14">
        <f t="shared" si="195"/>
        <v>0</v>
      </c>
      <c r="AF227" s="14">
        <f t="shared" si="196"/>
        <v>0</v>
      </c>
      <c r="AG227" s="14">
        <f t="shared" si="197"/>
        <v>0</v>
      </c>
      <c r="AH227" s="14">
        <f t="shared" si="198"/>
        <v>0</v>
      </c>
      <c r="AI227" s="49" t="s">
        <v>63</v>
      </c>
      <c r="AJ227" s="14">
        <f t="shared" si="199"/>
        <v>0</v>
      </c>
      <c r="AK227" s="14">
        <f t="shared" si="200"/>
        <v>0</v>
      </c>
      <c r="AL227" s="14">
        <f t="shared" si="201"/>
        <v>0</v>
      </c>
      <c r="AN227" s="14">
        <v>21</v>
      </c>
      <c r="AO227" s="14">
        <f t="shared" si="202"/>
        <v>0</v>
      </c>
      <c r="AP227" s="14">
        <f t="shared" si="203"/>
        <v>0</v>
      </c>
      <c r="AQ227" s="65" t="s">
        <v>168</v>
      </c>
      <c r="AV227" s="14">
        <f t="shared" si="204"/>
        <v>0</v>
      </c>
      <c r="AW227" s="14">
        <f t="shared" si="205"/>
        <v>0</v>
      </c>
      <c r="AX227" s="14">
        <f t="shared" si="206"/>
        <v>0</v>
      </c>
      <c r="AY227" s="65" t="s">
        <v>566</v>
      </c>
      <c r="AZ227" s="65" t="s">
        <v>567</v>
      </c>
      <c r="BA227" s="49" t="s">
        <v>553</v>
      </c>
      <c r="BC227" s="14">
        <f t="shared" si="207"/>
        <v>0</v>
      </c>
      <c r="BD227" s="14">
        <f t="shared" si="208"/>
        <v>0</v>
      </c>
      <c r="BE227" s="14">
        <v>0</v>
      </c>
      <c r="BF227" s="14">
        <f>227</f>
        <v>227</v>
      </c>
      <c r="BH227" s="14">
        <f t="shared" si="209"/>
        <v>0</v>
      </c>
      <c r="BI227" s="14">
        <f t="shared" si="210"/>
        <v>0</v>
      </c>
      <c r="BJ227" s="14">
        <f t="shared" si="211"/>
        <v>0</v>
      </c>
      <c r="BK227" s="14"/>
      <c r="BL227" s="14"/>
      <c r="BM227" s="14">
        <f t="shared" si="212"/>
        <v>0</v>
      </c>
      <c r="BW227" s="14">
        <v>21</v>
      </c>
      <c r="BX227" s="3" t="s">
        <v>594</v>
      </c>
    </row>
    <row r="228" spans="1:76" x14ac:dyDescent="0.25">
      <c r="A228" s="1" t="s">
        <v>595</v>
      </c>
      <c r="B228" s="2" t="s">
        <v>63</v>
      </c>
      <c r="C228" s="2" t="s">
        <v>596</v>
      </c>
      <c r="D228" s="81" t="s">
        <v>597</v>
      </c>
      <c r="E228" s="74"/>
      <c r="F228" s="2" t="s">
        <v>565</v>
      </c>
      <c r="G228" s="14">
        <v>1</v>
      </c>
      <c r="H228" s="64">
        <v>0</v>
      </c>
      <c r="I228" s="14">
        <f t="shared" si="190"/>
        <v>0</v>
      </c>
      <c r="K228" s="54"/>
      <c r="Z228" s="14">
        <f t="shared" si="191"/>
        <v>0</v>
      </c>
      <c r="AB228" s="14">
        <f t="shared" si="192"/>
        <v>0</v>
      </c>
      <c r="AC228" s="14">
        <f t="shared" si="193"/>
        <v>0</v>
      </c>
      <c r="AD228" s="14">
        <f t="shared" si="194"/>
        <v>0</v>
      </c>
      <c r="AE228" s="14">
        <f t="shared" si="195"/>
        <v>0</v>
      </c>
      <c r="AF228" s="14">
        <f t="shared" si="196"/>
        <v>0</v>
      </c>
      <c r="AG228" s="14">
        <f t="shared" si="197"/>
        <v>0</v>
      </c>
      <c r="AH228" s="14">
        <f t="shared" si="198"/>
        <v>0</v>
      </c>
      <c r="AI228" s="49" t="s">
        <v>63</v>
      </c>
      <c r="AJ228" s="14">
        <f t="shared" si="199"/>
        <v>0</v>
      </c>
      <c r="AK228" s="14">
        <f t="shared" si="200"/>
        <v>0</v>
      </c>
      <c r="AL228" s="14">
        <f t="shared" si="201"/>
        <v>0</v>
      </c>
      <c r="AN228" s="14">
        <v>21</v>
      </c>
      <c r="AO228" s="14">
        <f t="shared" si="202"/>
        <v>0</v>
      </c>
      <c r="AP228" s="14">
        <f t="shared" si="203"/>
        <v>0</v>
      </c>
      <c r="AQ228" s="65" t="s">
        <v>168</v>
      </c>
      <c r="AV228" s="14">
        <f t="shared" si="204"/>
        <v>0</v>
      </c>
      <c r="AW228" s="14">
        <f t="shared" si="205"/>
        <v>0</v>
      </c>
      <c r="AX228" s="14">
        <f t="shared" si="206"/>
        <v>0</v>
      </c>
      <c r="AY228" s="65" t="s">
        <v>566</v>
      </c>
      <c r="AZ228" s="65" t="s">
        <v>567</v>
      </c>
      <c r="BA228" s="49" t="s">
        <v>553</v>
      </c>
      <c r="BC228" s="14">
        <f t="shared" si="207"/>
        <v>0</v>
      </c>
      <c r="BD228" s="14">
        <f t="shared" si="208"/>
        <v>0</v>
      </c>
      <c r="BE228" s="14">
        <v>0</v>
      </c>
      <c r="BF228" s="14">
        <f>228</f>
        <v>228</v>
      </c>
      <c r="BH228" s="14">
        <f t="shared" si="209"/>
        <v>0</v>
      </c>
      <c r="BI228" s="14">
        <f t="shared" si="210"/>
        <v>0</v>
      </c>
      <c r="BJ228" s="14">
        <f t="shared" si="211"/>
        <v>0</v>
      </c>
      <c r="BK228" s="14"/>
      <c r="BL228" s="14"/>
      <c r="BM228" s="14">
        <f t="shared" si="212"/>
        <v>0</v>
      </c>
      <c r="BW228" s="14">
        <v>21</v>
      </c>
      <c r="BX228" s="3" t="s">
        <v>597</v>
      </c>
    </row>
    <row r="229" spans="1:76" x14ac:dyDescent="0.25">
      <c r="A229" s="60" t="s">
        <v>20</v>
      </c>
      <c r="B229" s="61" t="s">
        <v>63</v>
      </c>
      <c r="C229" s="61" t="s">
        <v>71</v>
      </c>
      <c r="D229" s="162" t="s">
        <v>72</v>
      </c>
      <c r="E229" s="163"/>
      <c r="F229" s="62" t="s">
        <v>13</v>
      </c>
      <c r="G229" s="62" t="s">
        <v>13</v>
      </c>
      <c r="H229" s="63" t="s">
        <v>13</v>
      </c>
      <c r="I229" s="43">
        <f>SUM(I230:I233)</f>
        <v>0</v>
      </c>
      <c r="K229" s="54"/>
      <c r="AI229" s="49" t="s">
        <v>63</v>
      </c>
      <c r="AS229" s="43">
        <f>SUM(AJ230:AJ233)</f>
        <v>0</v>
      </c>
      <c r="AT229" s="43">
        <f>SUM(AK230:AK233)</f>
        <v>0</v>
      </c>
      <c r="AU229" s="43">
        <f>SUM(AL230:AL233)</f>
        <v>0</v>
      </c>
    </row>
    <row r="230" spans="1:76" ht="25.5" x14ac:dyDescent="0.25">
      <c r="A230" s="1" t="s">
        <v>598</v>
      </c>
      <c r="B230" s="2" t="s">
        <v>63</v>
      </c>
      <c r="C230" s="2" t="s">
        <v>599</v>
      </c>
      <c r="D230" s="81" t="s">
        <v>600</v>
      </c>
      <c r="E230" s="74"/>
      <c r="F230" s="2" t="s">
        <v>565</v>
      </c>
      <c r="G230" s="14">
        <v>1</v>
      </c>
      <c r="H230" s="64">
        <v>0</v>
      </c>
      <c r="I230" s="14">
        <f>G230*H230</f>
        <v>0</v>
      </c>
      <c r="K230" s="54"/>
      <c r="Z230" s="14">
        <f>IF(AQ230="5",BJ230,0)</f>
        <v>0</v>
      </c>
      <c r="AB230" s="14">
        <f>IF(AQ230="1",BH230,0)</f>
        <v>0</v>
      </c>
      <c r="AC230" s="14">
        <f>IF(AQ230="1",BI230,0)</f>
        <v>0</v>
      </c>
      <c r="AD230" s="14">
        <f>IF(AQ230="7",BH230,0)</f>
        <v>0</v>
      </c>
      <c r="AE230" s="14">
        <f>IF(AQ230="7",BI230,0)</f>
        <v>0</v>
      </c>
      <c r="AF230" s="14">
        <f>IF(AQ230="2",BH230,0)</f>
        <v>0</v>
      </c>
      <c r="AG230" s="14">
        <f>IF(AQ230="2",BI230,0)</f>
        <v>0</v>
      </c>
      <c r="AH230" s="14">
        <f>IF(AQ230="0",BJ230,0)</f>
        <v>0</v>
      </c>
      <c r="AI230" s="49" t="s">
        <v>63</v>
      </c>
      <c r="AJ230" s="14">
        <f>IF(AN230=0,I230,0)</f>
        <v>0</v>
      </c>
      <c r="AK230" s="14">
        <f>IF(AN230=12,I230,0)</f>
        <v>0</v>
      </c>
      <c r="AL230" s="14">
        <f>IF(AN230=21,I230,0)</f>
        <v>0</v>
      </c>
      <c r="AN230" s="14">
        <v>21</v>
      </c>
      <c r="AO230" s="14">
        <f>H230*0</f>
        <v>0</v>
      </c>
      <c r="AP230" s="14">
        <f>H230*(1-0)</f>
        <v>0</v>
      </c>
      <c r="AQ230" s="65" t="s">
        <v>168</v>
      </c>
      <c r="AV230" s="14">
        <f>AW230+AX230</f>
        <v>0</v>
      </c>
      <c r="AW230" s="14">
        <f>G230*AO230</f>
        <v>0</v>
      </c>
      <c r="AX230" s="14">
        <f>G230*AP230</f>
        <v>0</v>
      </c>
      <c r="AY230" s="65" t="s">
        <v>601</v>
      </c>
      <c r="AZ230" s="65" t="s">
        <v>567</v>
      </c>
      <c r="BA230" s="49" t="s">
        <v>553</v>
      </c>
      <c r="BC230" s="14">
        <f>AW230+AX230</f>
        <v>0</v>
      </c>
      <c r="BD230" s="14">
        <f>H230/(100-BE230)*100</f>
        <v>0</v>
      </c>
      <c r="BE230" s="14">
        <v>0</v>
      </c>
      <c r="BF230" s="14">
        <f>230</f>
        <v>230</v>
      </c>
      <c r="BH230" s="14">
        <f>G230*AO230</f>
        <v>0</v>
      </c>
      <c r="BI230" s="14">
        <f>G230*AP230</f>
        <v>0</v>
      </c>
      <c r="BJ230" s="14">
        <f>G230*H230</f>
        <v>0</v>
      </c>
      <c r="BK230" s="14"/>
      <c r="BL230" s="14"/>
      <c r="BN230" s="14">
        <f>G230*H230</f>
        <v>0</v>
      </c>
      <c r="BW230" s="14">
        <v>21</v>
      </c>
      <c r="BX230" s="3" t="s">
        <v>600</v>
      </c>
    </row>
    <row r="231" spans="1:76" x14ac:dyDescent="0.25">
      <c r="A231" s="1" t="s">
        <v>602</v>
      </c>
      <c r="B231" s="2" t="s">
        <v>63</v>
      </c>
      <c r="C231" s="2" t="s">
        <v>603</v>
      </c>
      <c r="D231" s="81" t="s">
        <v>604</v>
      </c>
      <c r="E231" s="74"/>
      <c r="F231" s="2" t="s">
        <v>565</v>
      </c>
      <c r="G231" s="14">
        <v>1</v>
      </c>
      <c r="H231" s="64">
        <v>0</v>
      </c>
      <c r="I231" s="14">
        <f>G231*H231</f>
        <v>0</v>
      </c>
      <c r="K231" s="54"/>
      <c r="Z231" s="14">
        <f>IF(AQ231="5",BJ231,0)</f>
        <v>0</v>
      </c>
      <c r="AB231" s="14">
        <f>IF(AQ231="1",BH231,0)</f>
        <v>0</v>
      </c>
      <c r="AC231" s="14">
        <f>IF(AQ231="1",BI231,0)</f>
        <v>0</v>
      </c>
      <c r="AD231" s="14">
        <f>IF(AQ231="7",BH231,0)</f>
        <v>0</v>
      </c>
      <c r="AE231" s="14">
        <f>IF(AQ231="7",BI231,0)</f>
        <v>0</v>
      </c>
      <c r="AF231" s="14">
        <f>IF(AQ231="2",BH231,0)</f>
        <v>0</v>
      </c>
      <c r="AG231" s="14">
        <f>IF(AQ231="2",BI231,0)</f>
        <v>0</v>
      </c>
      <c r="AH231" s="14">
        <f>IF(AQ231="0",BJ231,0)</f>
        <v>0</v>
      </c>
      <c r="AI231" s="49" t="s">
        <v>63</v>
      </c>
      <c r="AJ231" s="14">
        <f>IF(AN231=0,I231,0)</f>
        <v>0</v>
      </c>
      <c r="AK231" s="14">
        <f>IF(AN231=12,I231,0)</f>
        <v>0</v>
      </c>
      <c r="AL231" s="14">
        <f>IF(AN231=21,I231,0)</f>
        <v>0</v>
      </c>
      <c r="AN231" s="14">
        <v>21</v>
      </c>
      <c r="AO231" s="14">
        <f>H231*0</f>
        <v>0</v>
      </c>
      <c r="AP231" s="14">
        <f>H231*(1-0)</f>
        <v>0</v>
      </c>
      <c r="AQ231" s="65" t="s">
        <v>168</v>
      </c>
      <c r="AV231" s="14">
        <f>AW231+AX231</f>
        <v>0</v>
      </c>
      <c r="AW231" s="14">
        <f>G231*AO231</f>
        <v>0</v>
      </c>
      <c r="AX231" s="14">
        <f>G231*AP231</f>
        <v>0</v>
      </c>
      <c r="AY231" s="65" t="s">
        <v>601</v>
      </c>
      <c r="AZ231" s="65" t="s">
        <v>567</v>
      </c>
      <c r="BA231" s="49" t="s">
        <v>553</v>
      </c>
      <c r="BC231" s="14">
        <f>AW231+AX231</f>
        <v>0</v>
      </c>
      <c r="BD231" s="14">
        <f>H231/(100-BE231)*100</f>
        <v>0</v>
      </c>
      <c r="BE231" s="14">
        <v>0</v>
      </c>
      <c r="BF231" s="14">
        <f>231</f>
        <v>231</v>
      </c>
      <c r="BH231" s="14">
        <f>G231*AO231</f>
        <v>0</v>
      </c>
      <c r="BI231" s="14">
        <f>G231*AP231</f>
        <v>0</v>
      </c>
      <c r="BJ231" s="14">
        <f>G231*H231</f>
        <v>0</v>
      </c>
      <c r="BK231" s="14"/>
      <c r="BL231" s="14"/>
      <c r="BN231" s="14">
        <f>G231*H231</f>
        <v>0</v>
      </c>
      <c r="BW231" s="14">
        <v>21</v>
      </c>
      <c r="BX231" s="3" t="s">
        <v>604</v>
      </c>
    </row>
    <row r="232" spans="1:76" x14ac:dyDescent="0.25">
      <c r="A232" s="1" t="s">
        <v>605</v>
      </c>
      <c r="B232" s="2" t="s">
        <v>63</v>
      </c>
      <c r="C232" s="2" t="s">
        <v>606</v>
      </c>
      <c r="D232" s="81" t="s">
        <v>607</v>
      </c>
      <c r="E232" s="74"/>
      <c r="F232" s="2" t="s">
        <v>565</v>
      </c>
      <c r="G232" s="14">
        <v>1</v>
      </c>
      <c r="H232" s="64">
        <v>0</v>
      </c>
      <c r="I232" s="14">
        <f>G232*H232</f>
        <v>0</v>
      </c>
      <c r="K232" s="54"/>
      <c r="Z232" s="14">
        <f>IF(AQ232="5",BJ232,0)</f>
        <v>0</v>
      </c>
      <c r="AB232" s="14">
        <f>IF(AQ232="1",BH232,0)</f>
        <v>0</v>
      </c>
      <c r="AC232" s="14">
        <f>IF(AQ232="1",BI232,0)</f>
        <v>0</v>
      </c>
      <c r="AD232" s="14">
        <f>IF(AQ232="7",BH232,0)</f>
        <v>0</v>
      </c>
      <c r="AE232" s="14">
        <f>IF(AQ232="7",BI232,0)</f>
        <v>0</v>
      </c>
      <c r="AF232" s="14">
        <f>IF(AQ232="2",BH232,0)</f>
        <v>0</v>
      </c>
      <c r="AG232" s="14">
        <f>IF(AQ232="2",BI232,0)</f>
        <v>0</v>
      </c>
      <c r="AH232" s="14">
        <f>IF(AQ232="0",BJ232,0)</f>
        <v>0</v>
      </c>
      <c r="AI232" s="49" t="s">
        <v>63</v>
      </c>
      <c r="AJ232" s="14">
        <f>IF(AN232=0,I232,0)</f>
        <v>0</v>
      </c>
      <c r="AK232" s="14">
        <f>IF(AN232=12,I232,0)</f>
        <v>0</v>
      </c>
      <c r="AL232" s="14">
        <f>IF(AN232=21,I232,0)</f>
        <v>0</v>
      </c>
      <c r="AN232" s="14">
        <v>21</v>
      </c>
      <c r="AO232" s="14">
        <f>H232*0</f>
        <v>0</v>
      </c>
      <c r="AP232" s="14">
        <f>H232*(1-0)</f>
        <v>0</v>
      </c>
      <c r="AQ232" s="65" t="s">
        <v>168</v>
      </c>
      <c r="AV232" s="14">
        <f>AW232+AX232</f>
        <v>0</v>
      </c>
      <c r="AW232" s="14">
        <f>G232*AO232</f>
        <v>0</v>
      </c>
      <c r="AX232" s="14">
        <f>G232*AP232</f>
        <v>0</v>
      </c>
      <c r="AY232" s="65" t="s">
        <v>601</v>
      </c>
      <c r="AZ232" s="65" t="s">
        <v>567</v>
      </c>
      <c r="BA232" s="49" t="s">
        <v>553</v>
      </c>
      <c r="BC232" s="14">
        <f>AW232+AX232</f>
        <v>0</v>
      </c>
      <c r="BD232" s="14">
        <f>H232/(100-BE232)*100</f>
        <v>0</v>
      </c>
      <c r="BE232" s="14">
        <v>0</v>
      </c>
      <c r="BF232" s="14">
        <f>232</f>
        <v>232</v>
      </c>
      <c r="BH232" s="14">
        <f>G232*AO232</f>
        <v>0</v>
      </c>
      <c r="BI232" s="14">
        <f>G232*AP232</f>
        <v>0</v>
      </c>
      <c r="BJ232" s="14">
        <f>G232*H232</f>
        <v>0</v>
      </c>
      <c r="BK232" s="14"/>
      <c r="BL232" s="14"/>
      <c r="BN232" s="14">
        <f>G232*H232</f>
        <v>0</v>
      </c>
      <c r="BW232" s="14">
        <v>21</v>
      </c>
      <c r="BX232" s="3" t="s">
        <v>607</v>
      </c>
    </row>
    <row r="233" spans="1:76" x14ac:dyDescent="0.25">
      <c r="A233" s="1" t="s">
        <v>608</v>
      </c>
      <c r="B233" s="2" t="s">
        <v>63</v>
      </c>
      <c r="C233" s="2" t="s">
        <v>609</v>
      </c>
      <c r="D233" s="81" t="s">
        <v>610</v>
      </c>
      <c r="E233" s="74"/>
      <c r="F233" s="2" t="s">
        <v>565</v>
      </c>
      <c r="G233" s="14">
        <v>1</v>
      </c>
      <c r="H233" s="64">
        <v>0</v>
      </c>
      <c r="I233" s="14">
        <f>G233*H233</f>
        <v>0</v>
      </c>
      <c r="K233" s="54"/>
      <c r="Z233" s="14">
        <f>IF(AQ233="5",BJ233,0)</f>
        <v>0</v>
      </c>
      <c r="AB233" s="14">
        <f>IF(AQ233="1",BH233,0)</f>
        <v>0</v>
      </c>
      <c r="AC233" s="14">
        <f>IF(AQ233="1",BI233,0)</f>
        <v>0</v>
      </c>
      <c r="AD233" s="14">
        <f>IF(AQ233="7",BH233,0)</f>
        <v>0</v>
      </c>
      <c r="AE233" s="14">
        <f>IF(AQ233="7",BI233,0)</f>
        <v>0</v>
      </c>
      <c r="AF233" s="14">
        <f>IF(AQ233="2",BH233,0)</f>
        <v>0</v>
      </c>
      <c r="AG233" s="14">
        <f>IF(AQ233="2",BI233,0)</f>
        <v>0</v>
      </c>
      <c r="AH233" s="14">
        <f>IF(AQ233="0",BJ233,0)</f>
        <v>0</v>
      </c>
      <c r="AI233" s="49" t="s">
        <v>63</v>
      </c>
      <c r="AJ233" s="14">
        <f>IF(AN233=0,I233,0)</f>
        <v>0</v>
      </c>
      <c r="AK233" s="14">
        <f>IF(AN233=12,I233,0)</f>
        <v>0</v>
      </c>
      <c r="AL233" s="14">
        <f>IF(AN233=21,I233,0)</f>
        <v>0</v>
      </c>
      <c r="AN233" s="14">
        <v>21</v>
      </c>
      <c r="AO233" s="14">
        <f>H233*0</f>
        <v>0</v>
      </c>
      <c r="AP233" s="14">
        <f>H233*(1-0)</f>
        <v>0</v>
      </c>
      <c r="AQ233" s="65" t="s">
        <v>168</v>
      </c>
      <c r="AV233" s="14">
        <f>AW233+AX233</f>
        <v>0</v>
      </c>
      <c r="AW233" s="14">
        <f>G233*AO233</f>
        <v>0</v>
      </c>
      <c r="AX233" s="14">
        <f>G233*AP233</f>
        <v>0</v>
      </c>
      <c r="AY233" s="65" t="s">
        <v>601</v>
      </c>
      <c r="AZ233" s="65" t="s">
        <v>567</v>
      </c>
      <c r="BA233" s="49" t="s">
        <v>553</v>
      </c>
      <c r="BC233" s="14">
        <f>AW233+AX233</f>
        <v>0</v>
      </c>
      <c r="BD233" s="14">
        <f>H233/(100-BE233)*100</f>
        <v>0</v>
      </c>
      <c r="BE233" s="14">
        <v>0</v>
      </c>
      <c r="BF233" s="14">
        <f>233</f>
        <v>233</v>
      </c>
      <c r="BH233" s="14">
        <f>G233*AO233</f>
        <v>0</v>
      </c>
      <c r="BI233" s="14">
        <f>G233*AP233</f>
        <v>0</v>
      </c>
      <c r="BJ233" s="14">
        <f>G233*H233</f>
        <v>0</v>
      </c>
      <c r="BK233" s="14"/>
      <c r="BL233" s="14"/>
      <c r="BN233" s="14">
        <f>G233*H233</f>
        <v>0</v>
      </c>
      <c r="BW233" s="14">
        <v>21</v>
      </c>
      <c r="BX233" s="3" t="s">
        <v>610</v>
      </c>
    </row>
    <row r="234" spans="1:76" x14ac:dyDescent="0.25">
      <c r="A234" s="60" t="s">
        <v>20</v>
      </c>
      <c r="B234" s="61" t="s">
        <v>63</v>
      </c>
      <c r="C234" s="61" t="s">
        <v>73</v>
      </c>
      <c r="D234" s="162" t="s">
        <v>74</v>
      </c>
      <c r="E234" s="163"/>
      <c r="F234" s="62" t="s">
        <v>13</v>
      </c>
      <c r="G234" s="62" t="s">
        <v>13</v>
      </c>
      <c r="H234" s="63" t="s">
        <v>13</v>
      </c>
      <c r="I234" s="43">
        <f>SUM(I235:I243)</f>
        <v>0</v>
      </c>
      <c r="K234" s="54"/>
      <c r="AI234" s="49" t="s">
        <v>63</v>
      </c>
      <c r="AS234" s="43">
        <f>SUM(AJ235:AJ243)</f>
        <v>0</v>
      </c>
      <c r="AT234" s="43">
        <f>SUM(AK235:AK243)</f>
        <v>0</v>
      </c>
      <c r="AU234" s="43">
        <f>SUM(AL235:AL243)</f>
        <v>0</v>
      </c>
    </row>
    <row r="235" spans="1:76" x14ac:dyDescent="0.25">
      <c r="A235" s="1" t="s">
        <v>611</v>
      </c>
      <c r="B235" s="2" t="s">
        <v>63</v>
      </c>
      <c r="C235" s="2" t="s">
        <v>612</v>
      </c>
      <c r="D235" s="81" t="s">
        <v>613</v>
      </c>
      <c r="E235" s="74"/>
      <c r="F235" s="2" t="s">
        <v>565</v>
      </c>
      <c r="G235" s="14">
        <v>1</v>
      </c>
      <c r="H235" s="64">
        <v>0</v>
      </c>
      <c r="I235" s="14">
        <f t="shared" ref="I235:I243" si="213">G235*H235</f>
        <v>0</v>
      </c>
      <c r="K235" s="54"/>
      <c r="Z235" s="14">
        <f t="shared" ref="Z235:Z243" si="214">IF(AQ235="5",BJ235,0)</f>
        <v>0</v>
      </c>
      <c r="AB235" s="14">
        <f t="shared" ref="AB235:AB243" si="215">IF(AQ235="1",BH235,0)</f>
        <v>0</v>
      </c>
      <c r="AC235" s="14">
        <f t="shared" ref="AC235:AC243" si="216">IF(AQ235="1",BI235,0)</f>
        <v>0</v>
      </c>
      <c r="AD235" s="14">
        <f t="shared" ref="AD235:AD243" si="217">IF(AQ235="7",BH235,0)</f>
        <v>0</v>
      </c>
      <c r="AE235" s="14">
        <f t="shared" ref="AE235:AE243" si="218">IF(AQ235="7",BI235,0)</f>
        <v>0</v>
      </c>
      <c r="AF235" s="14">
        <f t="shared" ref="AF235:AF243" si="219">IF(AQ235="2",BH235,0)</f>
        <v>0</v>
      </c>
      <c r="AG235" s="14">
        <f t="shared" ref="AG235:AG243" si="220">IF(AQ235="2",BI235,0)</f>
        <v>0</v>
      </c>
      <c r="AH235" s="14">
        <f t="shared" ref="AH235:AH243" si="221">IF(AQ235="0",BJ235,0)</f>
        <v>0</v>
      </c>
      <c r="AI235" s="49" t="s">
        <v>63</v>
      </c>
      <c r="AJ235" s="14">
        <f t="shared" ref="AJ235:AJ243" si="222">IF(AN235=0,I235,0)</f>
        <v>0</v>
      </c>
      <c r="AK235" s="14">
        <f t="shared" ref="AK235:AK243" si="223">IF(AN235=12,I235,0)</f>
        <v>0</v>
      </c>
      <c r="AL235" s="14">
        <f t="shared" ref="AL235:AL243" si="224">IF(AN235=21,I235,0)</f>
        <v>0</v>
      </c>
      <c r="AN235" s="14">
        <v>21</v>
      </c>
      <c r="AO235" s="14">
        <f t="shared" ref="AO235:AO243" si="225">H235*0</f>
        <v>0</v>
      </c>
      <c r="AP235" s="14">
        <f t="shared" ref="AP235:AP243" si="226">H235*(1-0)</f>
        <v>0</v>
      </c>
      <c r="AQ235" s="65" t="s">
        <v>168</v>
      </c>
      <c r="AV235" s="14">
        <f t="shared" ref="AV235:AV243" si="227">AW235+AX235</f>
        <v>0</v>
      </c>
      <c r="AW235" s="14">
        <f t="shared" ref="AW235:AW243" si="228">G235*AO235</f>
        <v>0</v>
      </c>
      <c r="AX235" s="14">
        <f t="shared" ref="AX235:AX243" si="229">G235*AP235</f>
        <v>0</v>
      </c>
      <c r="AY235" s="65" t="s">
        <v>614</v>
      </c>
      <c r="AZ235" s="65" t="s">
        <v>567</v>
      </c>
      <c r="BA235" s="49" t="s">
        <v>553</v>
      </c>
      <c r="BC235" s="14">
        <f t="shared" ref="BC235:BC243" si="230">AW235+AX235</f>
        <v>0</v>
      </c>
      <c r="BD235" s="14">
        <f t="shared" ref="BD235:BD243" si="231">H235/(100-BE235)*100</f>
        <v>0</v>
      </c>
      <c r="BE235" s="14">
        <v>0</v>
      </c>
      <c r="BF235" s="14">
        <f>235</f>
        <v>235</v>
      </c>
      <c r="BH235" s="14">
        <f t="shared" ref="BH235:BH243" si="232">G235*AO235</f>
        <v>0</v>
      </c>
      <c r="BI235" s="14">
        <f t="shared" ref="BI235:BI243" si="233">G235*AP235</f>
        <v>0</v>
      </c>
      <c r="BJ235" s="14">
        <f t="shared" ref="BJ235:BJ243" si="234">G235*H235</f>
        <v>0</v>
      </c>
      <c r="BK235" s="14"/>
      <c r="BL235" s="14"/>
      <c r="BO235" s="14">
        <f t="shared" ref="BO235:BO243" si="235">G235*H235</f>
        <v>0</v>
      </c>
      <c r="BW235" s="14">
        <v>21</v>
      </c>
      <c r="BX235" s="3" t="s">
        <v>613</v>
      </c>
    </row>
    <row r="236" spans="1:76" x14ac:dyDescent="0.25">
      <c r="A236" s="1" t="s">
        <v>615</v>
      </c>
      <c r="B236" s="2" t="s">
        <v>63</v>
      </c>
      <c r="C236" s="2" t="s">
        <v>616</v>
      </c>
      <c r="D236" s="81" t="s">
        <v>617</v>
      </c>
      <c r="E236" s="74"/>
      <c r="F236" s="2" t="s">
        <v>565</v>
      </c>
      <c r="G236" s="14">
        <v>1</v>
      </c>
      <c r="H236" s="64">
        <v>0</v>
      </c>
      <c r="I236" s="14">
        <f t="shared" si="213"/>
        <v>0</v>
      </c>
      <c r="K236" s="54"/>
      <c r="Z236" s="14">
        <f t="shared" si="214"/>
        <v>0</v>
      </c>
      <c r="AB236" s="14">
        <f t="shared" si="215"/>
        <v>0</v>
      </c>
      <c r="AC236" s="14">
        <f t="shared" si="216"/>
        <v>0</v>
      </c>
      <c r="AD236" s="14">
        <f t="shared" si="217"/>
        <v>0</v>
      </c>
      <c r="AE236" s="14">
        <f t="shared" si="218"/>
        <v>0</v>
      </c>
      <c r="AF236" s="14">
        <f t="shared" si="219"/>
        <v>0</v>
      </c>
      <c r="AG236" s="14">
        <f t="shared" si="220"/>
        <v>0</v>
      </c>
      <c r="AH236" s="14">
        <f t="shared" si="221"/>
        <v>0</v>
      </c>
      <c r="AI236" s="49" t="s">
        <v>63</v>
      </c>
      <c r="AJ236" s="14">
        <f t="shared" si="222"/>
        <v>0</v>
      </c>
      <c r="AK236" s="14">
        <f t="shared" si="223"/>
        <v>0</v>
      </c>
      <c r="AL236" s="14">
        <f t="shared" si="224"/>
        <v>0</v>
      </c>
      <c r="AN236" s="14">
        <v>21</v>
      </c>
      <c r="AO236" s="14">
        <f t="shared" si="225"/>
        <v>0</v>
      </c>
      <c r="AP236" s="14">
        <f t="shared" si="226"/>
        <v>0</v>
      </c>
      <c r="AQ236" s="65" t="s">
        <v>168</v>
      </c>
      <c r="AV236" s="14">
        <f t="shared" si="227"/>
        <v>0</v>
      </c>
      <c r="AW236" s="14">
        <f t="shared" si="228"/>
        <v>0</v>
      </c>
      <c r="AX236" s="14">
        <f t="shared" si="229"/>
        <v>0</v>
      </c>
      <c r="AY236" s="65" t="s">
        <v>614</v>
      </c>
      <c r="AZ236" s="65" t="s">
        <v>567</v>
      </c>
      <c r="BA236" s="49" t="s">
        <v>553</v>
      </c>
      <c r="BC236" s="14">
        <f t="shared" si="230"/>
        <v>0</v>
      </c>
      <c r="BD236" s="14">
        <f t="shared" si="231"/>
        <v>0</v>
      </c>
      <c r="BE236" s="14">
        <v>0</v>
      </c>
      <c r="BF236" s="14">
        <f>236</f>
        <v>236</v>
      </c>
      <c r="BH236" s="14">
        <f t="shared" si="232"/>
        <v>0</v>
      </c>
      <c r="BI236" s="14">
        <f t="shared" si="233"/>
        <v>0</v>
      </c>
      <c r="BJ236" s="14">
        <f t="shared" si="234"/>
        <v>0</v>
      </c>
      <c r="BK236" s="14"/>
      <c r="BL236" s="14"/>
      <c r="BO236" s="14">
        <f t="shared" si="235"/>
        <v>0</v>
      </c>
      <c r="BW236" s="14">
        <v>21</v>
      </c>
      <c r="BX236" s="3" t="s">
        <v>617</v>
      </c>
    </row>
    <row r="237" spans="1:76" x14ac:dyDescent="0.25">
      <c r="A237" s="1" t="s">
        <v>618</v>
      </c>
      <c r="B237" s="2" t="s">
        <v>63</v>
      </c>
      <c r="C237" s="2" t="s">
        <v>619</v>
      </c>
      <c r="D237" s="81" t="s">
        <v>620</v>
      </c>
      <c r="E237" s="74"/>
      <c r="F237" s="2" t="s">
        <v>171</v>
      </c>
      <c r="G237" s="14">
        <v>25</v>
      </c>
      <c r="H237" s="64">
        <v>0</v>
      </c>
      <c r="I237" s="14">
        <f t="shared" si="213"/>
        <v>0</v>
      </c>
      <c r="K237" s="54"/>
      <c r="Z237" s="14">
        <f t="shared" si="214"/>
        <v>0</v>
      </c>
      <c r="AB237" s="14">
        <f t="shared" si="215"/>
        <v>0</v>
      </c>
      <c r="AC237" s="14">
        <f t="shared" si="216"/>
        <v>0</v>
      </c>
      <c r="AD237" s="14">
        <f t="shared" si="217"/>
        <v>0</v>
      </c>
      <c r="AE237" s="14">
        <f t="shared" si="218"/>
        <v>0</v>
      </c>
      <c r="AF237" s="14">
        <f t="shared" si="219"/>
        <v>0</v>
      </c>
      <c r="AG237" s="14">
        <f t="shared" si="220"/>
        <v>0</v>
      </c>
      <c r="AH237" s="14">
        <f t="shared" si="221"/>
        <v>0</v>
      </c>
      <c r="AI237" s="49" t="s">
        <v>63</v>
      </c>
      <c r="AJ237" s="14">
        <f t="shared" si="222"/>
        <v>0</v>
      </c>
      <c r="AK237" s="14">
        <f t="shared" si="223"/>
        <v>0</v>
      </c>
      <c r="AL237" s="14">
        <f t="shared" si="224"/>
        <v>0</v>
      </c>
      <c r="AN237" s="14">
        <v>21</v>
      </c>
      <c r="AO237" s="14">
        <f t="shared" si="225"/>
        <v>0</v>
      </c>
      <c r="AP237" s="14">
        <f t="shared" si="226"/>
        <v>0</v>
      </c>
      <c r="AQ237" s="65" t="s">
        <v>168</v>
      </c>
      <c r="AV237" s="14">
        <f t="shared" si="227"/>
        <v>0</v>
      </c>
      <c r="AW237" s="14">
        <f t="shared" si="228"/>
        <v>0</v>
      </c>
      <c r="AX237" s="14">
        <f t="shared" si="229"/>
        <v>0</v>
      </c>
      <c r="AY237" s="65" t="s">
        <v>614</v>
      </c>
      <c r="AZ237" s="65" t="s">
        <v>567</v>
      </c>
      <c r="BA237" s="49" t="s">
        <v>553</v>
      </c>
      <c r="BC237" s="14">
        <f t="shared" si="230"/>
        <v>0</v>
      </c>
      <c r="BD237" s="14">
        <f t="shared" si="231"/>
        <v>0</v>
      </c>
      <c r="BE237" s="14">
        <v>0</v>
      </c>
      <c r="BF237" s="14">
        <f>237</f>
        <v>237</v>
      </c>
      <c r="BH237" s="14">
        <f t="shared" si="232"/>
        <v>0</v>
      </c>
      <c r="BI237" s="14">
        <f t="shared" si="233"/>
        <v>0</v>
      </c>
      <c r="BJ237" s="14">
        <f t="shared" si="234"/>
        <v>0</v>
      </c>
      <c r="BK237" s="14"/>
      <c r="BL237" s="14"/>
      <c r="BO237" s="14">
        <f t="shared" si="235"/>
        <v>0</v>
      </c>
      <c r="BW237" s="14">
        <v>21</v>
      </c>
      <c r="BX237" s="3" t="s">
        <v>620</v>
      </c>
    </row>
    <row r="238" spans="1:76" x14ac:dyDescent="0.25">
      <c r="A238" s="1" t="s">
        <v>621</v>
      </c>
      <c r="B238" s="2" t="s">
        <v>63</v>
      </c>
      <c r="C238" s="2" t="s">
        <v>622</v>
      </c>
      <c r="D238" s="81" t="s">
        <v>623</v>
      </c>
      <c r="E238" s="74"/>
      <c r="F238" s="2" t="s">
        <v>171</v>
      </c>
      <c r="G238" s="14">
        <v>25</v>
      </c>
      <c r="H238" s="64">
        <v>0</v>
      </c>
      <c r="I238" s="14">
        <f t="shared" si="213"/>
        <v>0</v>
      </c>
      <c r="K238" s="54"/>
      <c r="Z238" s="14">
        <f t="shared" si="214"/>
        <v>0</v>
      </c>
      <c r="AB238" s="14">
        <f t="shared" si="215"/>
        <v>0</v>
      </c>
      <c r="AC238" s="14">
        <f t="shared" si="216"/>
        <v>0</v>
      </c>
      <c r="AD238" s="14">
        <f t="shared" si="217"/>
        <v>0</v>
      </c>
      <c r="AE238" s="14">
        <f t="shared" si="218"/>
        <v>0</v>
      </c>
      <c r="AF238" s="14">
        <f t="shared" si="219"/>
        <v>0</v>
      </c>
      <c r="AG238" s="14">
        <f t="shared" si="220"/>
        <v>0</v>
      </c>
      <c r="AH238" s="14">
        <f t="shared" si="221"/>
        <v>0</v>
      </c>
      <c r="AI238" s="49" t="s">
        <v>63</v>
      </c>
      <c r="AJ238" s="14">
        <f t="shared" si="222"/>
        <v>0</v>
      </c>
      <c r="AK238" s="14">
        <f t="shared" si="223"/>
        <v>0</v>
      </c>
      <c r="AL238" s="14">
        <f t="shared" si="224"/>
        <v>0</v>
      </c>
      <c r="AN238" s="14">
        <v>21</v>
      </c>
      <c r="AO238" s="14">
        <f t="shared" si="225"/>
        <v>0</v>
      </c>
      <c r="AP238" s="14">
        <f t="shared" si="226"/>
        <v>0</v>
      </c>
      <c r="AQ238" s="65" t="s">
        <v>168</v>
      </c>
      <c r="AV238" s="14">
        <f t="shared" si="227"/>
        <v>0</v>
      </c>
      <c r="AW238" s="14">
        <f t="shared" si="228"/>
        <v>0</v>
      </c>
      <c r="AX238" s="14">
        <f t="shared" si="229"/>
        <v>0</v>
      </c>
      <c r="AY238" s="65" t="s">
        <v>614</v>
      </c>
      <c r="AZ238" s="65" t="s">
        <v>567</v>
      </c>
      <c r="BA238" s="49" t="s">
        <v>553</v>
      </c>
      <c r="BC238" s="14">
        <f t="shared" si="230"/>
        <v>0</v>
      </c>
      <c r="BD238" s="14">
        <f t="shared" si="231"/>
        <v>0</v>
      </c>
      <c r="BE238" s="14">
        <v>0</v>
      </c>
      <c r="BF238" s="14">
        <f>238</f>
        <v>238</v>
      </c>
      <c r="BH238" s="14">
        <f t="shared" si="232"/>
        <v>0</v>
      </c>
      <c r="BI238" s="14">
        <f t="shared" si="233"/>
        <v>0</v>
      </c>
      <c r="BJ238" s="14">
        <f t="shared" si="234"/>
        <v>0</v>
      </c>
      <c r="BK238" s="14"/>
      <c r="BL238" s="14"/>
      <c r="BO238" s="14">
        <f t="shared" si="235"/>
        <v>0</v>
      </c>
      <c r="BW238" s="14">
        <v>21</v>
      </c>
      <c r="BX238" s="3" t="s">
        <v>623</v>
      </c>
    </row>
    <row r="239" spans="1:76" x14ac:dyDescent="0.25">
      <c r="A239" s="1" t="s">
        <v>624</v>
      </c>
      <c r="B239" s="2" t="s">
        <v>63</v>
      </c>
      <c r="C239" s="2" t="s">
        <v>625</v>
      </c>
      <c r="D239" s="81" t="s">
        <v>626</v>
      </c>
      <c r="E239" s="74"/>
      <c r="F239" s="2" t="s">
        <v>565</v>
      </c>
      <c r="G239" s="14">
        <v>1</v>
      </c>
      <c r="H239" s="64">
        <v>0</v>
      </c>
      <c r="I239" s="14">
        <f t="shared" si="213"/>
        <v>0</v>
      </c>
      <c r="K239" s="54"/>
      <c r="Z239" s="14">
        <f t="shared" si="214"/>
        <v>0</v>
      </c>
      <c r="AB239" s="14">
        <f t="shared" si="215"/>
        <v>0</v>
      </c>
      <c r="AC239" s="14">
        <f t="shared" si="216"/>
        <v>0</v>
      </c>
      <c r="AD239" s="14">
        <f t="shared" si="217"/>
        <v>0</v>
      </c>
      <c r="AE239" s="14">
        <f t="shared" si="218"/>
        <v>0</v>
      </c>
      <c r="AF239" s="14">
        <f t="shared" si="219"/>
        <v>0</v>
      </c>
      <c r="AG239" s="14">
        <f t="shared" si="220"/>
        <v>0</v>
      </c>
      <c r="AH239" s="14">
        <f t="shared" si="221"/>
        <v>0</v>
      </c>
      <c r="AI239" s="49" t="s">
        <v>63</v>
      </c>
      <c r="AJ239" s="14">
        <f t="shared" si="222"/>
        <v>0</v>
      </c>
      <c r="AK239" s="14">
        <f t="shared" si="223"/>
        <v>0</v>
      </c>
      <c r="AL239" s="14">
        <f t="shared" si="224"/>
        <v>0</v>
      </c>
      <c r="AN239" s="14">
        <v>21</v>
      </c>
      <c r="AO239" s="14">
        <f t="shared" si="225"/>
        <v>0</v>
      </c>
      <c r="AP239" s="14">
        <f t="shared" si="226"/>
        <v>0</v>
      </c>
      <c r="AQ239" s="65" t="s">
        <v>168</v>
      </c>
      <c r="AV239" s="14">
        <f t="shared" si="227"/>
        <v>0</v>
      </c>
      <c r="AW239" s="14">
        <f t="shared" si="228"/>
        <v>0</v>
      </c>
      <c r="AX239" s="14">
        <f t="shared" si="229"/>
        <v>0</v>
      </c>
      <c r="AY239" s="65" t="s">
        <v>614</v>
      </c>
      <c r="AZ239" s="65" t="s">
        <v>567</v>
      </c>
      <c r="BA239" s="49" t="s">
        <v>553</v>
      </c>
      <c r="BC239" s="14">
        <f t="shared" si="230"/>
        <v>0</v>
      </c>
      <c r="BD239" s="14">
        <f t="shared" si="231"/>
        <v>0</v>
      </c>
      <c r="BE239" s="14">
        <v>0</v>
      </c>
      <c r="BF239" s="14">
        <f>239</f>
        <v>239</v>
      </c>
      <c r="BH239" s="14">
        <f t="shared" si="232"/>
        <v>0</v>
      </c>
      <c r="BI239" s="14">
        <f t="shared" si="233"/>
        <v>0</v>
      </c>
      <c r="BJ239" s="14">
        <f t="shared" si="234"/>
        <v>0</v>
      </c>
      <c r="BK239" s="14"/>
      <c r="BL239" s="14"/>
      <c r="BO239" s="14">
        <f t="shared" si="235"/>
        <v>0</v>
      </c>
      <c r="BW239" s="14">
        <v>21</v>
      </c>
      <c r="BX239" s="3" t="s">
        <v>626</v>
      </c>
    </row>
    <row r="240" spans="1:76" x14ac:dyDescent="0.25">
      <c r="A240" s="1" t="s">
        <v>627</v>
      </c>
      <c r="B240" s="2" t="s">
        <v>63</v>
      </c>
      <c r="C240" s="2" t="s">
        <v>628</v>
      </c>
      <c r="D240" s="81" t="s">
        <v>629</v>
      </c>
      <c r="E240" s="74"/>
      <c r="F240" s="2" t="s">
        <v>333</v>
      </c>
      <c r="G240" s="14">
        <v>1</v>
      </c>
      <c r="H240" s="64">
        <v>0</v>
      </c>
      <c r="I240" s="14">
        <f t="shared" si="213"/>
        <v>0</v>
      </c>
      <c r="K240" s="54"/>
      <c r="Z240" s="14">
        <f t="shared" si="214"/>
        <v>0</v>
      </c>
      <c r="AB240" s="14">
        <f t="shared" si="215"/>
        <v>0</v>
      </c>
      <c r="AC240" s="14">
        <f t="shared" si="216"/>
        <v>0</v>
      </c>
      <c r="AD240" s="14">
        <f t="shared" si="217"/>
        <v>0</v>
      </c>
      <c r="AE240" s="14">
        <f t="shared" si="218"/>
        <v>0</v>
      </c>
      <c r="AF240" s="14">
        <f t="shared" si="219"/>
        <v>0</v>
      </c>
      <c r="AG240" s="14">
        <f t="shared" si="220"/>
        <v>0</v>
      </c>
      <c r="AH240" s="14">
        <f t="shared" si="221"/>
        <v>0</v>
      </c>
      <c r="AI240" s="49" t="s">
        <v>63</v>
      </c>
      <c r="AJ240" s="14">
        <f t="shared" si="222"/>
        <v>0</v>
      </c>
      <c r="AK240" s="14">
        <f t="shared" si="223"/>
        <v>0</v>
      </c>
      <c r="AL240" s="14">
        <f t="shared" si="224"/>
        <v>0</v>
      </c>
      <c r="AN240" s="14">
        <v>21</v>
      </c>
      <c r="AO240" s="14">
        <f t="shared" si="225"/>
        <v>0</v>
      </c>
      <c r="AP240" s="14">
        <f t="shared" si="226"/>
        <v>0</v>
      </c>
      <c r="AQ240" s="65" t="s">
        <v>168</v>
      </c>
      <c r="AV240" s="14">
        <f t="shared" si="227"/>
        <v>0</v>
      </c>
      <c r="AW240" s="14">
        <f t="shared" si="228"/>
        <v>0</v>
      </c>
      <c r="AX240" s="14">
        <f t="shared" si="229"/>
        <v>0</v>
      </c>
      <c r="AY240" s="65" t="s">
        <v>614</v>
      </c>
      <c r="AZ240" s="65" t="s">
        <v>567</v>
      </c>
      <c r="BA240" s="49" t="s">
        <v>553</v>
      </c>
      <c r="BC240" s="14">
        <f t="shared" si="230"/>
        <v>0</v>
      </c>
      <c r="BD240" s="14">
        <f t="shared" si="231"/>
        <v>0</v>
      </c>
      <c r="BE240" s="14">
        <v>0</v>
      </c>
      <c r="BF240" s="14">
        <f>240</f>
        <v>240</v>
      </c>
      <c r="BH240" s="14">
        <f t="shared" si="232"/>
        <v>0</v>
      </c>
      <c r="BI240" s="14">
        <f t="shared" si="233"/>
        <v>0</v>
      </c>
      <c r="BJ240" s="14">
        <f t="shared" si="234"/>
        <v>0</v>
      </c>
      <c r="BK240" s="14"/>
      <c r="BL240" s="14"/>
      <c r="BO240" s="14">
        <f t="shared" si="235"/>
        <v>0</v>
      </c>
      <c r="BW240" s="14">
        <v>21</v>
      </c>
      <c r="BX240" s="3" t="s">
        <v>629</v>
      </c>
    </row>
    <row r="241" spans="1:76" x14ac:dyDescent="0.25">
      <c r="A241" s="1" t="s">
        <v>630</v>
      </c>
      <c r="B241" s="2" t="s">
        <v>63</v>
      </c>
      <c r="C241" s="2" t="s">
        <v>631</v>
      </c>
      <c r="D241" s="81" t="s">
        <v>632</v>
      </c>
      <c r="E241" s="74"/>
      <c r="F241" s="2" t="s">
        <v>171</v>
      </c>
      <c r="G241" s="14">
        <v>25</v>
      </c>
      <c r="H241" s="64">
        <v>0</v>
      </c>
      <c r="I241" s="14">
        <f t="shared" si="213"/>
        <v>0</v>
      </c>
      <c r="K241" s="54"/>
      <c r="Z241" s="14">
        <f t="shared" si="214"/>
        <v>0</v>
      </c>
      <c r="AB241" s="14">
        <f t="shared" si="215"/>
        <v>0</v>
      </c>
      <c r="AC241" s="14">
        <f t="shared" si="216"/>
        <v>0</v>
      </c>
      <c r="AD241" s="14">
        <f t="shared" si="217"/>
        <v>0</v>
      </c>
      <c r="AE241" s="14">
        <f t="shared" si="218"/>
        <v>0</v>
      </c>
      <c r="AF241" s="14">
        <f t="shared" si="219"/>
        <v>0</v>
      </c>
      <c r="AG241" s="14">
        <f t="shared" si="220"/>
        <v>0</v>
      </c>
      <c r="AH241" s="14">
        <f t="shared" si="221"/>
        <v>0</v>
      </c>
      <c r="AI241" s="49" t="s">
        <v>63</v>
      </c>
      <c r="AJ241" s="14">
        <f t="shared" si="222"/>
        <v>0</v>
      </c>
      <c r="AK241" s="14">
        <f t="shared" si="223"/>
        <v>0</v>
      </c>
      <c r="AL241" s="14">
        <f t="shared" si="224"/>
        <v>0</v>
      </c>
      <c r="AN241" s="14">
        <v>21</v>
      </c>
      <c r="AO241" s="14">
        <f t="shared" si="225"/>
        <v>0</v>
      </c>
      <c r="AP241" s="14">
        <f t="shared" si="226"/>
        <v>0</v>
      </c>
      <c r="AQ241" s="65" t="s">
        <v>168</v>
      </c>
      <c r="AV241" s="14">
        <f t="shared" si="227"/>
        <v>0</v>
      </c>
      <c r="AW241" s="14">
        <f t="shared" si="228"/>
        <v>0</v>
      </c>
      <c r="AX241" s="14">
        <f t="shared" si="229"/>
        <v>0</v>
      </c>
      <c r="AY241" s="65" t="s">
        <v>614</v>
      </c>
      <c r="AZ241" s="65" t="s">
        <v>567</v>
      </c>
      <c r="BA241" s="49" t="s">
        <v>553</v>
      </c>
      <c r="BC241" s="14">
        <f t="shared" si="230"/>
        <v>0</v>
      </c>
      <c r="BD241" s="14">
        <f t="shared" si="231"/>
        <v>0</v>
      </c>
      <c r="BE241" s="14">
        <v>0</v>
      </c>
      <c r="BF241" s="14">
        <f>241</f>
        <v>241</v>
      </c>
      <c r="BH241" s="14">
        <f t="shared" si="232"/>
        <v>0</v>
      </c>
      <c r="BI241" s="14">
        <f t="shared" si="233"/>
        <v>0</v>
      </c>
      <c r="BJ241" s="14">
        <f t="shared" si="234"/>
        <v>0</v>
      </c>
      <c r="BK241" s="14"/>
      <c r="BL241" s="14"/>
      <c r="BO241" s="14">
        <f t="shared" si="235"/>
        <v>0</v>
      </c>
      <c r="BW241" s="14">
        <v>21</v>
      </c>
      <c r="BX241" s="3" t="s">
        <v>632</v>
      </c>
    </row>
    <row r="242" spans="1:76" x14ac:dyDescent="0.25">
      <c r="A242" s="1" t="s">
        <v>633</v>
      </c>
      <c r="B242" s="2" t="s">
        <v>63</v>
      </c>
      <c r="C242" s="2" t="s">
        <v>634</v>
      </c>
      <c r="D242" s="81" t="s">
        <v>635</v>
      </c>
      <c r="E242" s="74"/>
      <c r="F242" s="2" t="s">
        <v>565</v>
      </c>
      <c r="G242" s="14">
        <v>1</v>
      </c>
      <c r="H242" s="64">
        <v>0</v>
      </c>
      <c r="I242" s="14">
        <f t="shared" si="213"/>
        <v>0</v>
      </c>
      <c r="K242" s="54"/>
      <c r="Z242" s="14">
        <f t="shared" si="214"/>
        <v>0</v>
      </c>
      <c r="AB242" s="14">
        <f t="shared" si="215"/>
        <v>0</v>
      </c>
      <c r="AC242" s="14">
        <f t="shared" si="216"/>
        <v>0</v>
      </c>
      <c r="AD242" s="14">
        <f t="shared" si="217"/>
        <v>0</v>
      </c>
      <c r="AE242" s="14">
        <f t="shared" si="218"/>
        <v>0</v>
      </c>
      <c r="AF242" s="14">
        <f t="shared" si="219"/>
        <v>0</v>
      </c>
      <c r="AG242" s="14">
        <f t="shared" si="220"/>
        <v>0</v>
      </c>
      <c r="AH242" s="14">
        <f t="shared" si="221"/>
        <v>0</v>
      </c>
      <c r="AI242" s="49" t="s">
        <v>63</v>
      </c>
      <c r="AJ242" s="14">
        <f t="shared" si="222"/>
        <v>0</v>
      </c>
      <c r="AK242" s="14">
        <f t="shared" si="223"/>
        <v>0</v>
      </c>
      <c r="AL242" s="14">
        <f t="shared" si="224"/>
        <v>0</v>
      </c>
      <c r="AN242" s="14">
        <v>21</v>
      </c>
      <c r="AO242" s="14">
        <f t="shared" si="225"/>
        <v>0</v>
      </c>
      <c r="AP242" s="14">
        <f t="shared" si="226"/>
        <v>0</v>
      </c>
      <c r="AQ242" s="65" t="s">
        <v>168</v>
      </c>
      <c r="AV242" s="14">
        <f t="shared" si="227"/>
        <v>0</v>
      </c>
      <c r="AW242" s="14">
        <f t="shared" si="228"/>
        <v>0</v>
      </c>
      <c r="AX242" s="14">
        <f t="shared" si="229"/>
        <v>0</v>
      </c>
      <c r="AY242" s="65" t="s">
        <v>614</v>
      </c>
      <c r="AZ242" s="65" t="s">
        <v>567</v>
      </c>
      <c r="BA242" s="49" t="s">
        <v>553</v>
      </c>
      <c r="BC242" s="14">
        <f t="shared" si="230"/>
        <v>0</v>
      </c>
      <c r="BD242" s="14">
        <f t="shared" si="231"/>
        <v>0</v>
      </c>
      <c r="BE242" s="14">
        <v>0</v>
      </c>
      <c r="BF242" s="14">
        <f>242</f>
        <v>242</v>
      </c>
      <c r="BH242" s="14">
        <f t="shared" si="232"/>
        <v>0</v>
      </c>
      <c r="BI242" s="14">
        <f t="shared" si="233"/>
        <v>0</v>
      </c>
      <c r="BJ242" s="14">
        <f t="shared" si="234"/>
        <v>0</v>
      </c>
      <c r="BK242" s="14"/>
      <c r="BL242" s="14"/>
      <c r="BO242" s="14">
        <f t="shared" si="235"/>
        <v>0</v>
      </c>
      <c r="BW242" s="14">
        <v>21</v>
      </c>
      <c r="BX242" s="3" t="s">
        <v>635</v>
      </c>
    </row>
    <row r="243" spans="1:76" x14ac:dyDescent="0.25">
      <c r="A243" s="1" t="s">
        <v>636</v>
      </c>
      <c r="B243" s="2" t="s">
        <v>63</v>
      </c>
      <c r="C243" s="2" t="s">
        <v>637</v>
      </c>
      <c r="D243" s="81" t="s">
        <v>638</v>
      </c>
      <c r="E243" s="74"/>
      <c r="F243" s="2" t="s">
        <v>565</v>
      </c>
      <c r="G243" s="14">
        <v>1</v>
      </c>
      <c r="H243" s="64">
        <v>0</v>
      </c>
      <c r="I243" s="14">
        <f t="shared" si="213"/>
        <v>0</v>
      </c>
      <c r="K243" s="54"/>
      <c r="Z243" s="14">
        <f t="shared" si="214"/>
        <v>0</v>
      </c>
      <c r="AB243" s="14">
        <f t="shared" si="215"/>
        <v>0</v>
      </c>
      <c r="AC243" s="14">
        <f t="shared" si="216"/>
        <v>0</v>
      </c>
      <c r="AD243" s="14">
        <f t="shared" si="217"/>
        <v>0</v>
      </c>
      <c r="AE243" s="14">
        <f t="shared" si="218"/>
        <v>0</v>
      </c>
      <c r="AF243" s="14">
        <f t="shared" si="219"/>
        <v>0</v>
      </c>
      <c r="AG243" s="14">
        <f t="shared" si="220"/>
        <v>0</v>
      </c>
      <c r="AH243" s="14">
        <f t="shared" si="221"/>
        <v>0</v>
      </c>
      <c r="AI243" s="49" t="s">
        <v>63</v>
      </c>
      <c r="AJ243" s="14">
        <f t="shared" si="222"/>
        <v>0</v>
      </c>
      <c r="AK243" s="14">
        <f t="shared" si="223"/>
        <v>0</v>
      </c>
      <c r="AL243" s="14">
        <f t="shared" si="224"/>
        <v>0</v>
      </c>
      <c r="AN243" s="14">
        <v>21</v>
      </c>
      <c r="AO243" s="14">
        <f t="shared" si="225"/>
        <v>0</v>
      </c>
      <c r="AP243" s="14">
        <f t="shared" si="226"/>
        <v>0</v>
      </c>
      <c r="AQ243" s="65" t="s">
        <v>168</v>
      </c>
      <c r="AV243" s="14">
        <f t="shared" si="227"/>
        <v>0</v>
      </c>
      <c r="AW243" s="14">
        <f t="shared" si="228"/>
        <v>0</v>
      </c>
      <c r="AX243" s="14">
        <f t="shared" si="229"/>
        <v>0</v>
      </c>
      <c r="AY243" s="65" t="s">
        <v>614</v>
      </c>
      <c r="AZ243" s="65" t="s">
        <v>567</v>
      </c>
      <c r="BA243" s="49" t="s">
        <v>553</v>
      </c>
      <c r="BC243" s="14">
        <f t="shared" si="230"/>
        <v>0</v>
      </c>
      <c r="BD243" s="14">
        <f t="shared" si="231"/>
        <v>0</v>
      </c>
      <c r="BE243" s="14">
        <v>0</v>
      </c>
      <c r="BF243" s="14">
        <f>243</f>
        <v>243</v>
      </c>
      <c r="BH243" s="14">
        <f t="shared" si="232"/>
        <v>0</v>
      </c>
      <c r="BI243" s="14">
        <f t="shared" si="233"/>
        <v>0</v>
      </c>
      <c r="BJ243" s="14">
        <f t="shared" si="234"/>
        <v>0</v>
      </c>
      <c r="BK243" s="14"/>
      <c r="BL243" s="14"/>
      <c r="BO243" s="14">
        <f t="shared" si="235"/>
        <v>0</v>
      </c>
      <c r="BW243" s="14">
        <v>21</v>
      </c>
      <c r="BX243" s="3" t="s">
        <v>638</v>
      </c>
    </row>
    <row r="244" spans="1:76" x14ac:dyDescent="0.25">
      <c r="A244" s="60" t="s">
        <v>20</v>
      </c>
      <c r="B244" s="61" t="s">
        <v>63</v>
      </c>
      <c r="C244" s="61" t="s">
        <v>75</v>
      </c>
      <c r="D244" s="162" t="s">
        <v>76</v>
      </c>
      <c r="E244" s="163"/>
      <c r="F244" s="62" t="s">
        <v>13</v>
      </c>
      <c r="G244" s="62" t="s">
        <v>13</v>
      </c>
      <c r="H244" s="63" t="s">
        <v>13</v>
      </c>
      <c r="I244" s="43">
        <f>SUM(I245:I246)</f>
        <v>0</v>
      </c>
      <c r="K244" s="54"/>
      <c r="AI244" s="49" t="s">
        <v>63</v>
      </c>
      <c r="AS244" s="43">
        <f>SUM(AJ245:AJ246)</f>
        <v>0</v>
      </c>
      <c r="AT244" s="43">
        <f>SUM(AK245:AK246)</f>
        <v>0</v>
      </c>
      <c r="AU244" s="43">
        <f>SUM(AL245:AL246)</f>
        <v>0</v>
      </c>
    </row>
    <row r="245" spans="1:76" x14ac:dyDescent="0.25">
      <c r="A245" s="1" t="s">
        <v>639</v>
      </c>
      <c r="B245" s="2" t="s">
        <v>63</v>
      </c>
      <c r="C245" s="2" t="s">
        <v>640</v>
      </c>
      <c r="D245" s="81" t="s">
        <v>641</v>
      </c>
      <c r="E245" s="74"/>
      <c r="F245" s="2" t="s">
        <v>565</v>
      </c>
      <c r="G245" s="14">
        <v>1</v>
      </c>
      <c r="H245" s="64">
        <v>0</v>
      </c>
      <c r="I245" s="14">
        <f>G245*H245</f>
        <v>0</v>
      </c>
      <c r="K245" s="54"/>
      <c r="Z245" s="14">
        <f>IF(AQ245="5",BJ245,0)</f>
        <v>0</v>
      </c>
      <c r="AB245" s="14">
        <f>IF(AQ245="1",BH245,0)</f>
        <v>0</v>
      </c>
      <c r="AC245" s="14">
        <f>IF(AQ245="1",BI245,0)</f>
        <v>0</v>
      </c>
      <c r="AD245" s="14">
        <f>IF(AQ245="7",BH245,0)</f>
        <v>0</v>
      </c>
      <c r="AE245" s="14">
        <f>IF(AQ245="7",BI245,0)</f>
        <v>0</v>
      </c>
      <c r="AF245" s="14">
        <f>IF(AQ245="2",BH245,0)</f>
        <v>0</v>
      </c>
      <c r="AG245" s="14">
        <f>IF(AQ245="2",BI245,0)</f>
        <v>0</v>
      </c>
      <c r="AH245" s="14">
        <f>IF(AQ245="0",BJ245,0)</f>
        <v>0</v>
      </c>
      <c r="AI245" s="49" t="s">
        <v>63</v>
      </c>
      <c r="AJ245" s="14">
        <f>IF(AN245=0,I245,0)</f>
        <v>0</v>
      </c>
      <c r="AK245" s="14">
        <f>IF(AN245=12,I245,0)</f>
        <v>0</v>
      </c>
      <c r="AL245" s="14">
        <f>IF(AN245=21,I245,0)</f>
        <v>0</v>
      </c>
      <c r="AN245" s="14">
        <v>21</v>
      </c>
      <c r="AO245" s="14">
        <f>H245*0</f>
        <v>0</v>
      </c>
      <c r="AP245" s="14">
        <f>H245*(1-0)</f>
        <v>0</v>
      </c>
      <c r="AQ245" s="65" t="s">
        <v>168</v>
      </c>
      <c r="AV245" s="14">
        <f>AW245+AX245</f>
        <v>0</v>
      </c>
      <c r="AW245" s="14">
        <f>G245*AO245</f>
        <v>0</v>
      </c>
      <c r="AX245" s="14">
        <f>G245*AP245</f>
        <v>0</v>
      </c>
      <c r="AY245" s="65" t="s">
        <v>642</v>
      </c>
      <c r="AZ245" s="65" t="s">
        <v>567</v>
      </c>
      <c r="BA245" s="49" t="s">
        <v>553</v>
      </c>
      <c r="BC245" s="14">
        <f>AW245+AX245</f>
        <v>0</v>
      </c>
      <c r="BD245" s="14">
        <f>H245/(100-BE245)*100</f>
        <v>0</v>
      </c>
      <c r="BE245" s="14">
        <v>0</v>
      </c>
      <c r="BF245" s="14">
        <f>245</f>
        <v>245</v>
      </c>
      <c r="BH245" s="14">
        <f>G245*AO245</f>
        <v>0</v>
      </c>
      <c r="BI245" s="14">
        <f>G245*AP245</f>
        <v>0</v>
      </c>
      <c r="BJ245" s="14">
        <f>G245*H245</f>
        <v>0</v>
      </c>
      <c r="BK245" s="14"/>
      <c r="BL245" s="14"/>
      <c r="BP245" s="14">
        <f>G245*H245</f>
        <v>0</v>
      </c>
      <c r="BW245" s="14">
        <v>21</v>
      </c>
      <c r="BX245" s="3" t="s">
        <v>641</v>
      </c>
    </row>
    <row r="246" spans="1:76" x14ac:dyDescent="0.25">
      <c r="A246" s="16" t="s">
        <v>643</v>
      </c>
      <c r="B246" s="17" t="s">
        <v>63</v>
      </c>
      <c r="C246" s="17" t="s">
        <v>644</v>
      </c>
      <c r="D246" s="164" t="s">
        <v>645</v>
      </c>
      <c r="E246" s="93"/>
      <c r="F246" s="17" t="s">
        <v>565</v>
      </c>
      <c r="G246" s="66">
        <v>1</v>
      </c>
      <c r="H246" s="67">
        <v>0</v>
      </c>
      <c r="I246" s="66">
        <f>G246*H246</f>
        <v>0</v>
      </c>
      <c r="J246" s="68"/>
      <c r="K246" s="69"/>
      <c r="Z246" s="14">
        <f>IF(AQ246="5",BJ246,0)</f>
        <v>0</v>
      </c>
      <c r="AB246" s="14">
        <f>IF(AQ246="1",BH246,0)</f>
        <v>0</v>
      </c>
      <c r="AC246" s="14">
        <f>IF(AQ246="1",BI246,0)</f>
        <v>0</v>
      </c>
      <c r="AD246" s="14">
        <f>IF(AQ246="7",BH246,0)</f>
        <v>0</v>
      </c>
      <c r="AE246" s="14">
        <f>IF(AQ246="7",BI246,0)</f>
        <v>0</v>
      </c>
      <c r="AF246" s="14">
        <f>IF(AQ246="2",BH246,0)</f>
        <v>0</v>
      </c>
      <c r="AG246" s="14">
        <f>IF(AQ246="2",BI246,0)</f>
        <v>0</v>
      </c>
      <c r="AH246" s="14">
        <f>IF(AQ246="0",BJ246,0)</f>
        <v>0</v>
      </c>
      <c r="AI246" s="49" t="s">
        <v>63</v>
      </c>
      <c r="AJ246" s="14">
        <f>IF(AN246=0,I246,0)</f>
        <v>0</v>
      </c>
      <c r="AK246" s="14">
        <f>IF(AN246=12,I246,0)</f>
        <v>0</v>
      </c>
      <c r="AL246" s="14">
        <f>IF(AN246=21,I246,0)</f>
        <v>0</v>
      </c>
      <c r="AN246" s="14">
        <v>21</v>
      </c>
      <c r="AO246" s="14">
        <f>H246*0</f>
        <v>0</v>
      </c>
      <c r="AP246" s="14">
        <f>H246*(1-0)</f>
        <v>0</v>
      </c>
      <c r="AQ246" s="65" t="s">
        <v>168</v>
      </c>
      <c r="AV246" s="14">
        <f>AW246+AX246</f>
        <v>0</v>
      </c>
      <c r="AW246" s="14">
        <f>G246*AO246</f>
        <v>0</v>
      </c>
      <c r="AX246" s="14">
        <f>G246*AP246</f>
        <v>0</v>
      </c>
      <c r="AY246" s="65" t="s">
        <v>642</v>
      </c>
      <c r="AZ246" s="65" t="s">
        <v>567</v>
      </c>
      <c r="BA246" s="49" t="s">
        <v>553</v>
      </c>
      <c r="BC246" s="14">
        <f>AW246+AX246</f>
        <v>0</v>
      </c>
      <c r="BD246" s="14">
        <f>H246/(100-BE246)*100</f>
        <v>0</v>
      </c>
      <c r="BE246" s="14">
        <v>0</v>
      </c>
      <c r="BF246" s="14">
        <f>246</f>
        <v>246</v>
      </c>
      <c r="BH246" s="14">
        <f>G246*AO246</f>
        <v>0</v>
      </c>
      <c r="BI246" s="14">
        <f>G246*AP246</f>
        <v>0</v>
      </c>
      <c r="BJ246" s="14">
        <f>G246*H246</f>
        <v>0</v>
      </c>
      <c r="BK246" s="14"/>
      <c r="BL246" s="14"/>
      <c r="BP246" s="14">
        <f>G246*H246</f>
        <v>0</v>
      </c>
      <c r="BW246" s="14">
        <v>21</v>
      </c>
      <c r="BX246" s="3" t="s">
        <v>645</v>
      </c>
    </row>
    <row r="247" spans="1:76" x14ac:dyDescent="0.25">
      <c r="I247" s="19">
        <f>I13+I19+I23+I28+I33+I42+I44+I49+I58+I60+I68+I70+I76+I79+I81+I91+I93+I99+I105+I109+I122+I127+I137+I139+I142+I149+I153+I155+I157+I164+I166+I168+I173+I176+I178+I188+I192+I198+I211+I214+I217+I229+I234+I244</f>
        <v>0</v>
      </c>
    </row>
    <row r="248" spans="1:76" x14ac:dyDescent="0.25">
      <c r="A248" s="20" t="s">
        <v>78</v>
      </c>
    </row>
    <row r="249" spans="1:76" ht="12.75" customHeight="1" x14ac:dyDescent="0.25">
      <c r="A249" s="81" t="s">
        <v>20</v>
      </c>
      <c r="B249" s="74"/>
      <c r="C249" s="74"/>
      <c r="D249" s="74"/>
      <c r="E249" s="74"/>
      <c r="F249" s="74"/>
      <c r="G249" s="74"/>
      <c r="H249" s="74"/>
      <c r="I249" s="74"/>
      <c r="J249" s="74"/>
      <c r="K249" s="74"/>
    </row>
  </sheetData>
  <sheetProtection password="C665" sheet="1"/>
  <mergeCells count="263">
    <mergeCell ref="D246:E246"/>
    <mergeCell ref="A249:K249"/>
    <mergeCell ref="D241:E241"/>
    <mergeCell ref="D242:E242"/>
    <mergeCell ref="D243:E243"/>
    <mergeCell ref="D244:E244"/>
    <mergeCell ref="D245:E245"/>
    <mergeCell ref="D236:E236"/>
    <mergeCell ref="D237:E237"/>
    <mergeCell ref="D238:E238"/>
    <mergeCell ref="D239:E239"/>
    <mergeCell ref="D240:E240"/>
    <mergeCell ref="D231:E231"/>
    <mergeCell ref="D232:E232"/>
    <mergeCell ref="D233:E233"/>
    <mergeCell ref="D234:E234"/>
    <mergeCell ref="D235:E235"/>
    <mergeCell ref="D226:E226"/>
    <mergeCell ref="D227:E227"/>
    <mergeCell ref="D228:E228"/>
    <mergeCell ref="D229:E229"/>
    <mergeCell ref="D230:E230"/>
    <mergeCell ref="D221:E221"/>
    <mergeCell ref="D222:E222"/>
    <mergeCell ref="D223:E223"/>
    <mergeCell ref="D224:E224"/>
    <mergeCell ref="D225:E225"/>
    <mergeCell ref="D216:E216"/>
    <mergeCell ref="D217:E217"/>
    <mergeCell ref="D218:E218"/>
    <mergeCell ref="D219:E219"/>
    <mergeCell ref="D220:E220"/>
    <mergeCell ref="D211:E211"/>
    <mergeCell ref="D212:E212"/>
    <mergeCell ref="D213:E213"/>
    <mergeCell ref="D214:E214"/>
    <mergeCell ref="D215:E215"/>
    <mergeCell ref="D206:E206"/>
    <mergeCell ref="D207:E207"/>
    <mergeCell ref="D208:E208"/>
    <mergeCell ref="D209:E209"/>
    <mergeCell ref="D210:E210"/>
    <mergeCell ref="D201:E201"/>
    <mergeCell ref="D202:E202"/>
    <mergeCell ref="D203:E203"/>
    <mergeCell ref="D204:E204"/>
    <mergeCell ref="D205:E205"/>
    <mergeCell ref="D196:E196"/>
    <mergeCell ref="D197:E197"/>
    <mergeCell ref="D198:E198"/>
    <mergeCell ref="D199:E199"/>
    <mergeCell ref="D200:E200"/>
    <mergeCell ref="D191:E191"/>
    <mergeCell ref="D192:E192"/>
    <mergeCell ref="D193:E193"/>
    <mergeCell ref="D194:E194"/>
    <mergeCell ref="D195:E195"/>
    <mergeCell ref="D186:E186"/>
    <mergeCell ref="D187:E187"/>
    <mergeCell ref="D188:E188"/>
    <mergeCell ref="D189:E189"/>
    <mergeCell ref="D190:E190"/>
    <mergeCell ref="D181:E181"/>
    <mergeCell ref="D182:E182"/>
    <mergeCell ref="D183:E183"/>
    <mergeCell ref="D184:E184"/>
    <mergeCell ref="D185:E185"/>
    <mergeCell ref="D176:E176"/>
    <mergeCell ref="D177:E177"/>
    <mergeCell ref="D178:E178"/>
    <mergeCell ref="D179:E179"/>
    <mergeCell ref="D180:E180"/>
    <mergeCell ref="D171:E171"/>
    <mergeCell ref="D172:E172"/>
    <mergeCell ref="D173:E173"/>
    <mergeCell ref="D174:E174"/>
    <mergeCell ref="D175:E175"/>
    <mergeCell ref="D166:E166"/>
    <mergeCell ref="D167:E167"/>
    <mergeCell ref="D168:E168"/>
    <mergeCell ref="D169:E169"/>
    <mergeCell ref="D170:E170"/>
    <mergeCell ref="D161:E161"/>
    <mergeCell ref="D162:E162"/>
    <mergeCell ref="D163:E163"/>
    <mergeCell ref="D164:E164"/>
    <mergeCell ref="D165:E165"/>
    <mergeCell ref="D156:E156"/>
    <mergeCell ref="D157:E157"/>
    <mergeCell ref="D158:E158"/>
    <mergeCell ref="D159:E159"/>
    <mergeCell ref="D160:E160"/>
    <mergeCell ref="D151:E151"/>
    <mergeCell ref="D152:E152"/>
    <mergeCell ref="D153:E153"/>
    <mergeCell ref="D154:E154"/>
    <mergeCell ref="D155:E155"/>
    <mergeCell ref="D146:E146"/>
    <mergeCell ref="D147:E147"/>
    <mergeCell ref="D148:E148"/>
    <mergeCell ref="D149:E149"/>
    <mergeCell ref="D150:E150"/>
    <mergeCell ref="D141:E141"/>
    <mergeCell ref="D142:E142"/>
    <mergeCell ref="D143:E143"/>
    <mergeCell ref="D144:E144"/>
    <mergeCell ref="D145:E145"/>
    <mergeCell ref="D136:E136"/>
    <mergeCell ref="D137:E137"/>
    <mergeCell ref="D138:E138"/>
    <mergeCell ref="D139:E139"/>
    <mergeCell ref="D140:E140"/>
    <mergeCell ref="D131:E131"/>
    <mergeCell ref="D132:E132"/>
    <mergeCell ref="D133:E133"/>
    <mergeCell ref="D134:E134"/>
    <mergeCell ref="D135:E135"/>
    <mergeCell ref="D126:E126"/>
    <mergeCell ref="D127:E127"/>
    <mergeCell ref="D128:E128"/>
    <mergeCell ref="D129:E129"/>
    <mergeCell ref="D130:E130"/>
    <mergeCell ref="D121:E121"/>
    <mergeCell ref="D122:E122"/>
    <mergeCell ref="D123:E123"/>
    <mergeCell ref="D124:E124"/>
    <mergeCell ref="D125:E125"/>
    <mergeCell ref="D116:E116"/>
    <mergeCell ref="D117:E117"/>
    <mergeCell ref="D118:E118"/>
    <mergeCell ref="D119:E119"/>
    <mergeCell ref="D120:E120"/>
    <mergeCell ref="D111:E111"/>
    <mergeCell ref="D112:E112"/>
    <mergeCell ref="D113:E113"/>
    <mergeCell ref="D114:E114"/>
    <mergeCell ref="D115:E115"/>
    <mergeCell ref="D106:E106"/>
    <mergeCell ref="D107:E107"/>
    <mergeCell ref="D108:E108"/>
    <mergeCell ref="D109:E109"/>
    <mergeCell ref="D110:E110"/>
    <mergeCell ref="D101:E101"/>
    <mergeCell ref="D102:E102"/>
    <mergeCell ref="D103:E103"/>
    <mergeCell ref="D104:E104"/>
    <mergeCell ref="D105:E105"/>
    <mergeCell ref="D96:E96"/>
    <mergeCell ref="D97:E97"/>
    <mergeCell ref="D98:E98"/>
    <mergeCell ref="D99:E99"/>
    <mergeCell ref="D100:E100"/>
    <mergeCell ref="D91:E91"/>
    <mergeCell ref="D92:E92"/>
    <mergeCell ref="D93:E93"/>
    <mergeCell ref="D94:E94"/>
    <mergeCell ref="D95:E95"/>
    <mergeCell ref="D86:E86"/>
    <mergeCell ref="D87:E87"/>
    <mergeCell ref="D88:E88"/>
    <mergeCell ref="D89:E89"/>
    <mergeCell ref="D90:E90"/>
    <mergeCell ref="D81:E81"/>
    <mergeCell ref="D82:E82"/>
    <mergeCell ref="D83:E83"/>
    <mergeCell ref="D84:E84"/>
    <mergeCell ref="D85:E85"/>
    <mergeCell ref="D76:E76"/>
    <mergeCell ref="D77:E77"/>
    <mergeCell ref="D78:E78"/>
    <mergeCell ref="D79:E79"/>
    <mergeCell ref="D80:E80"/>
    <mergeCell ref="D71:E71"/>
    <mergeCell ref="D72:E72"/>
    <mergeCell ref="D73:E73"/>
    <mergeCell ref="D74:E74"/>
    <mergeCell ref="D75:E75"/>
    <mergeCell ref="D66:E66"/>
    <mergeCell ref="D67:E67"/>
    <mergeCell ref="D68:E68"/>
    <mergeCell ref="D69:E69"/>
    <mergeCell ref="D70:E70"/>
    <mergeCell ref="D61:E61"/>
    <mergeCell ref="D62:E62"/>
    <mergeCell ref="D63:E63"/>
    <mergeCell ref="D64:E64"/>
    <mergeCell ref="D65:E65"/>
    <mergeCell ref="D56:E56"/>
    <mergeCell ref="D57:E57"/>
    <mergeCell ref="D58:E58"/>
    <mergeCell ref="D59:E59"/>
    <mergeCell ref="D60:E60"/>
    <mergeCell ref="D51:E51"/>
    <mergeCell ref="D52:E52"/>
    <mergeCell ref="D53:E53"/>
    <mergeCell ref="D54:E54"/>
    <mergeCell ref="D55:E55"/>
    <mergeCell ref="D46:E46"/>
    <mergeCell ref="D47:E47"/>
    <mergeCell ref="D48:E48"/>
    <mergeCell ref="D49:E49"/>
    <mergeCell ref="D50:E50"/>
    <mergeCell ref="D41:E41"/>
    <mergeCell ref="D42:E42"/>
    <mergeCell ref="D43:E43"/>
    <mergeCell ref="D44:E44"/>
    <mergeCell ref="D45:E45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J2:K3"/>
    <mergeCell ref="J4:K5"/>
    <mergeCell ref="J6:K7"/>
    <mergeCell ref="J8:K9"/>
    <mergeCell ref="D10:E10"/>
    <mergeCell ref="D8:E9"/>
    <mergeCell ref="H2:H3"/>
    <mergeCell ref="H4:H5"/>
    <mergeCell ref="H6:H7"/>
    <mergeCell ref="H8:H9"/>
    <mergeCell ref="A1:K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</mergeCells>
  <pageMargins left="0.393999993801117" right="0.393999993801117" top="0.59100002050399802" bottom="0.59100002050399802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Krycí list rozpočtu</vt:lpstr>
      <vt:lpstr>Rozpočet - Jen objekty celkem</vt:lpstr>
      <vt:lpstr>Rozpočet - Jen podskupiny</vt:lpstr>
      <vt:lpstr>VORN</vt:lpstr>
      <vt:lpstr>Stavební rozpočet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Kamil Beck</cp:lastModifiedBy>
  <dcterms:created xsi:type="dcterms:W3CDTF">2021-06-10T20:06:38Z</dcterms:created>
  <dcterms:modified xsi:type="dcterms:W3CDTF">2024-07-31T09:54:26Z</dcterms:modified>
</cp:coreProperties>
</file>