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Krycí list rozpočtu" sheetId="1" r:id="rId1"/>
    <sheet name="VORN" sheetId="2" r:id="rId2"/>
    <sheet name="Rozpočet - objekty" sheetId="3" r:id="rId3"/>
    <sheet name="Rozpočet - skupiny" sheetId="4" r:id="rId4"/>
    <sheet name="Stavební rozpočet" sheetId="5" r:id="rId5"/>
    <sheet name="Výkaz výměr" sheetId="6" r:id="rId6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<sst xmlns="http://schemas.openxmlformats.org/spreadsheetml/2006/main" count="2735" uniqueCount="829">
  <si>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</si>
  <si>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</si>
  <si>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</si>
  <si>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</si>
  <si>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</si>
  <si>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</si>
  <si>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</si>
  <si>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</si>
  <si>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</si>
  <si>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</si>
  <si>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</si>
  <si>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</si>
  <si>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</si>
  <si>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</si>
  <si>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</si>
  <si>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</si>
  <si>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</si>
  <si>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</si>
  <si>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</si>
  <si>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 xml:space="preserve">- Rozpočet počítá s rekonstrukcí tří koupelen s příslušenstvím.
  (Podíl na jednu koupelnu cca 33,3%)
</t>
  </si>
  <si>
    <t>Základní rozpočtové náklady</t>
  </si>
  <si>
    <t>Dodávky</t>
  </si>
  <si>
    <t>Montáž</t>
  </si>
  <si>
    <t>Krycí list slepého rozpočtu</t>
  </si>
  <si>
    <t>B</t>
  </si>
  <si>
    <t>Práce přesčas</t>
  </si>
  <si>
    <t>Bez pevné podl.</t>
  </si>
  <si>
    <t>Kulturní památka</t>
  </si>
  <si>
    <t>DN celkem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</si>
  <si>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</si>
  <si>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</si>
  <si>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</si>
  <si>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</si>
  <si>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</si>
  <si>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</si>
  <si>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</si>
  <si>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</si>
  <si>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</si>
  <si>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</si>
  <si>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</si>
  <si>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</si>
  <si>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</si>
  <si>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</si>
  <si>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</si>
  <si>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</si>
  <si>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</si>
  <si>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ORN celkem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</si>
  <si>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</si>
  <si>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</si>
  <si>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</si>
  <si>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</si>
  <si>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</si>
  <si>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</si>
  <si>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</si>
  <si>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03872394/</t>
  </si>
  <si>
    <t>144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</si>
  <si>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</si>
  <si>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</si>
  <si>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</si>
  <si>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</si>
  <si>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</si>
  <si>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</si>
  <si>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</si>
  <si>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</si>
  <si>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</si>
  <si>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</si>
  <si>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</si>
  <si>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</si>
  <si>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Slepý stavební rozpočet - Jen objekty celkem</t>
  </si>
  <si>
    <t xml:space="preserve"> </t>
  </si>
  <si>
    <t>Objekt</t>
  </si>
  <si>
    <t>SO1 HSV</t>
  </si>
  <si>
    <t>SO2 PSV</t>
  </si>
  <si>
    <t>SO3 PSV</t>
  </si>
  <si>
    <t>SO4 PSV</t>
  </si>
  <si>
    <t>SO5 M</t>
  </si>
  <si>
    <t>SO6</t>
  </si>
  <si>
    <t>- Rozpočet počítá s rekonstrukcí tří koupelen s příslušenstvím.
  (Podíl na jednu koupelnu cca 33,3%)</t>
  </si>
  <si>
    <t>Zkrácený popis</t>
  </si>
  <si>
    <t>Stavební úpravy HSV</t>
  </si>
  <si>
    <t>Vnitřní vodovod a sanitarní vybavení PSV</t>
  </si>
  <si>
    <t>Kanalizace PSV</t>
  </si>
  <si>
    <t>Ústřední vytápění PSV</t>
  </si>
  <si>
    <t>Elektroinstalece, Montáže</t>
  </si>
  <si>
    <t>Dodatečné vybavení</t>
  </si>
  <si>
    <t>Doba výstavby:</t>
  </si>
  <si>
    <t>Zpracováno dne:</t>
  </si>
  <si>
    <t>Náklady (Kč)</t>
  </si>
  <si>
    <t>Dodávka</t>
  </si>
  <si>
    <t>Celkem:</t>
  </si>
  <si>
    <t>Celkem</t>
  </si>
  <si>
    <t>F</t>
  </si>
  <si>
    <t>Slepý stavební rozpočet - Jen skupiny</t>
  </si>
  <si>
    <t>Kód</t>
  </si>
  <si>
    <t>3</t>
  </si>
  <si>
    <t>6</t>
  </si>
  <si>
    <t>71</t>
  </si>
  <si>
    <t>76</t>
  </si>
  <si>
    <t>77</t>
  </si>
  <si>
    <t>78</t>
  </si>
  <si>
    <t>9</t>
  </si>
  <si>
    <t>72</t>
  </si>
  <si>
    <t>8</t>
  </si>
  <si>
    <t>73</t>
  </si>
  <si>
    <t>Svislé a kompletní konstrukce</t>
  </si>
  <si>
    <t>Úpravy povrchů a osazování výplní otvorů</t>
  </si>
  <si>
    <t>Izolace</t>
  </si>
  <si>
    <t>Konstrukce</t>
  </si>
  <si>
    <t>Podlahy</t>
  </si>
  <si>
    <t>Dokončovací práce</t>
  </si>
  <si>
    <t>Dokončovací práce, demolice</t>
  </si>
  <si>
    <t>Zdravotně technické instalace</t>
  </si>
  <si>
    <t>Trubní vedení</t>
  </si>
  <si>
    <t>Ústřední vytápění</t>
  </si>
  <si>
    <t>T</t>
  </si>
  <si>
    <t>Slepý stavební rozpočet</t>
  </si>
  <si>
    <t>Č</t>
  </si>
  <si>
    <t>1</t>
  </si>
  <si>
    <t>2</t>
  </si>
  <si>
    <t>4</t>
  </si>
  <si>
    <t>5</t>
  </si>
  <si>
    <t>7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</si>
  <si>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</si>
  <si>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</si>
  <si>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</si>
  <si>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</si>
  <si>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</si>
  <si>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</si>
  <si>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</si>
  <si>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</si>
  <si>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</si>
  <si>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</si>
  <si>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</si>
  <si>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</si>
  <si>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</si>
  <si>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</si>
  <si>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</si>
  <si>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</si>
  <si>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</si>
  <si>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</si>
  <si>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</si>
  <si>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</si>
  <si>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</si>
  <si>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</si>
  <si>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</si>
  <si>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</si>
  <si>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</si>
  <si>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</si>
  <si>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</si>
  <si>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</si>
  <si>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</si>
  <si>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</si>
  <si>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</si>
  <si>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</si>
  <si>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</si>
  <si>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</si>
  <si>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</si>
  <si>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</si>
  <si>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</si>
  <si>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</si>
  <si>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</si>
  <si>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</si>
  <si>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</si>
  <si>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</si>
  <si>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</si>
  <si>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</si>
  <si>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</si>
  <si>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</si>
  <si>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</si>
  <si>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</si>
  <si>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</si>
  <si>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</si>
  <si>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</si>
  <si>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</si>
  <si>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</si>
  <si>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</si>
  <si>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</si>
  <si>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</si>
  <si>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</si>
  <si>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</si>
  <si>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</si>
  <si>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</si>
  <si>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</si>
  <si>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74</t>
  </si>
  <si>
    <t>75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</si>
  <si>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</si>
  <si>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</si>
  <si>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</si>
  <si>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</si>
  <si>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</si>
  <si>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</si>
  <si>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</si>
  <si>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</si>
  <si>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</si>
  <si>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</si>
  <si>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</si>
  <si>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</si>
  <si>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</si>
  <si>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</si>
  <si>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</si>
  <si>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</si>
  <si>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</si>
  <si>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</si>
  <si>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</si>
  <si>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</si>
  <si>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</si>
  <si>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</si>
  <si>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</si>
  <si>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</si>
  <si>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</si>
  <si>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</si>
  <si>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</si>
  <si>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</si>
  <si>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</si>
  <si>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</si>
  <si>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</si>
  <si>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</si>
  <si>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</si>
  <si>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</si>
  <si>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</si>
  <si>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</si>
  <si>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</si>
  <si>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</si>
  <si>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</si>
  <si>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</si>
  <si>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</si>
  <si>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</si>
  <si>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</si>
  <si>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</si>
  <si>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</si>
  <si>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</si>
  <si>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</si>
  <si>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</si>
  <si>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</si>
  <si>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</si>
  <si>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</si>
  <si>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</si>
  <si>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</si>
  <si>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</si>
  <si>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</si>
  <si>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</si>
  <si>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</si>
  <si>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</si>
  <si>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</si>
  <si>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</si>
  <si>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</si>
  <si>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</si>
  <si>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</si>
  <si>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</si>
  <si>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</si>
  <si>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311311912R00</t>
  </si>
  <si>
    <t>998011001R00</t>
  </si>
  <si>
    <t>342948111R00</t>
  </si>
  <si>
    <t>342263410R00</t>
  </si>
  <si>
    <t>55347623</t>
  </si>
  <si>
    <t>342254911R00</t>
  </si>
  <si>
    <t>342254811R00</t>
  </si>
  <si>
    <t>342254611R00</t>
  </si>
  <si>
    <t>342262641RT1</t>
  </si>
  <si>
    <t>346244361R00</t>
  </si>
  <si>
    <t>610991111R00</t>
  </si>
  <si>
    <t>612421431RT2</t>
  </si>
  <si>
    <t>631313611RM1</t>
  </si>
  <si>
    <t>632418150RV1</t>
  </si>
  <si>
    <t>632411104R00</t>
  </si>
  <si>
    <t>642942111RT2</t>
  </si>
  <si>
    <t>711</t>
  </si>
  <si>
    <t>711212201R00</t>
  </si>
  <si>
    <t>711212221R00</t>
  </si>
  <si>
    <t>998711101R00</t>
  </si>
  <si>
    <t>766</t>
  </si>
  <si>
    <t>766711001R00</t>
  </si>
  <si>
    <t>61143250</t>
  </si>
  <si>
    <t>61196004</t>
  </si>
  <si>
    <t>766662112R00</t>
  </si>
  <si>
    <t>61165004</t>
  </si>
  <si>
    <t>766112820R00</t>
  </si>
  <si>
    <t>998766101R00</t>
  </si>
  <si>
    <t>767</t>
  </si>
  <si>
    <t>767647912R00</t>
  </si>
  <si>
    <t>54914596</t>
  </si>
  <si>
    <t>998767101R00</t>
  </si>
  <si>
    <t>771</t>
  </si>
  <si>
    <t>771575118R00</t>
  </si>
  <si>
    <t>597642070</t>
  </si>
  <si>
    <t>771578011R00</t>
  </si>
  <si>
    <t>771101147R00</t>
  </si>
  <si>
    <t>711212231R00</t>
  </si>
  <si>
    <t>998771101R00</t>
  </si>
  <si>
    <t>776</t>
  </si>
  <si>
    <t>776421100RU1</t>
  </si>
  <si>
    <t>998776102R00</t>
  </si>
  <si>
    <t>781</t>
  </si>
  <si>
    <t>781415014RT5</t>
  </si>
  <si>
    <t>597813741</t>
  </si>
  <si>
    <t>781491001RT1</t>
  </si>
  <si>
    <t>781497121R00</t>
  </si>
  <si>
    <t>998781101R00</t>
  </si>
  <si>
    <t>783</t>
  </si>
  <si>
    <t>783220010RAB</t>
  </si>
  <si>
    <t>784</t>
  </si>
  <si>
    <t>784161401R00</t>
  </si>
  <si>
    <t>784165512R00</t>
  </si>
  <si>
    <t>905      R00</t>
  </si>
  <si>
    <t>941955001R00</t>
  </si>
  <si>
    <t>998009101R00</t>
  </si>
  <si>
    <t>952901111R00</t>
  </si>
  <si>
    <t>781900010RA0</t>
  </si>
  <si>
    <t>965081712RT1</t>
  </si>
  <si>
    <t>965048150R00</t>
  </si>
  <si>
    <t>968062747R00</t>
  </si>
  <si>
    <t>968072455R00</t>
  </si>
  <si>
    <t>965043441RT1</t>
  </si>
  <si>
    <t>969011121R00</t>
  </si>
  <si>
    <t>969021111R00</t>
  </si>
  <si>
    <t>962031133R00</t>
  </si>
  <si>
    <t>962032231R00</t>
  </si>
  <si>
    <t>978013161R00</t>
  </si>
  <si>
    <t>974042545R00</t>
  </si>
  <si>
    <t>974031145R00</t>
  </si>
  <si>
    <t>979</t>
  </si>
  <si>
    <t>979082111R00</t>
  </si>
  <si>
    <t>979082318R00</t>
  </si>
  <si>
    <t>979981101R00</t>
  </si>
  <si>
    <t>S</t>
  </si>
  <si>
    <t>979087312R00</t>
  </si>
  <si>
    <t>979990101R00</t>
  </si>
  <si>
    <t>23152401</t>
  </si>
  <si>
    <t>62740504</t>
  </si>
  <si>
    <t>722</t>
  </si>
  <si>
    <t>722172332R00</t>
  </si>
  <si>
    <t>722172331R00</t>
  </si>
  <si>
    <t>722172311R00</t>
  </si>
  <si>
    <t>722172310R00</t>
  </si>
  <si>
    <t>722280106R00</t>
  </si>
  <si>
    <t>722290234R00</t>
  </si>
  <si>
    <t>722202412R00</t>
  </si>
  <si>
    <t>722181241RZ6</t>
  </si>
  <si>
    <t>722202213R00</t>
  </si>
  <si>
    <t>998722101R00</t>
  </si>
  <si>
    <t>725</t>
  </si>
  <si>
    <t>64214361</t>
  </si>
  <si>
    <t>725017132R00</t>
  </si>
  <si>
    <t>551620220</t>
  </si>
  <si>
    <t>725823111RT1</t>
  </si>
  <si>
    <t>725825114RT1</t>
  </si>
  <si>
    <t>725810402R00</t>
  </si>
  <si>
    <t>725119402R00</t>
  </si>
  <si>
    <t>725119306R00</t>
  </si>
  <si>
    <t>55280010</t>
  </si>
  <si>
    <t>725014171R00</t>
  </si>
  <si>
    <t>725869204R00</t>
  </si>
  <si>
    <t>725110811R00</t>
  </si>
  <si>
    <t>725210912R00</t>
  </si>
  <si>
    <t>725640801R00</t>
  </si>
  <si>
    <t>725410811R00</t>
  </si>
  <si>
    <t>55231802</t>
  </si>
  <si>
    <t>202      R00</t>
  </si>
  <si>
    <t>998725101R00</t>
  </si>
  <si>
    <t>909      R00</t>
  </si>
  <si>
    <t>904      R00</t>
  </si>
  <si>
    <t>721</t>
  </si>
  <si>
    <t>721194109R00</t>
  </si>
  <si>
    <t>721176125R00</t>
  </si>
  <si>
    <t>721176105R00</t>
  </si>
  <si>
    <t>230170013R00</t>
  </si>
  <si>
    <t>721176104R00</t>
  </si>
  <si>
    <t>721176103R00</t>
  </si>
  <si>
    <t>230170012R00</t>
  </si>
  <si>
    <t>721176102R00</t>
  </si>
  <si>
    <t>230170011R00</t>
  </si>
  <si>
    <t>721194105R00</t>
  </si>
  <si>
    <t>721194104R00</t>
  </si>
  <si>
    <t>998721101R00</t>
  </si>
  <si>
    <t>892855111R00</t>
  </si>
  <si>
    <t>M46</t>
  </si>
  <si>
    <t>460680022RT1</t>
  </si>
  <si>
    <t>733</t>
  </si>
  <si>
    <t>733161106R00</t>
  </si>
  <si>
    <t>733161104R00</t>
  </si>
  <si>
    <t>733190106R00</t>
  </si>
  <si>
    <t>734266112R00</t>
  </si>
  <si>
    <t>722181213RT5</t>
  </si>
  <si>
    <t>904      R02</t>
  </si>
  <si>
    <t>783424140R00</t>
  </si>
  <si>
    <t>734233214R00</t>
  </si>
  <si>
    <t>998733103R00</t>
  </si>
  <si>
    <t>735</t>
  </si>
  <si>
    <t>735179110R00</t>
  </si>
  <si>
    <t>484518226</t>
  </si>
  <si>
    <t>735159523R00</t>
  </si>
  <si>
    <t>48458152</t>
  </si>
  <si>
    <t>734225262R00</t>
  </si>
  <si>
    <t>734211113R00</t>
  </si>
  <si>
    <t>735000912R00</t>
  </si>
  <si>
    <t>735191910R00</t>
  </si>
  <si>
    <t>735191901R00</t>
  </si>
  <si>
    <t>998735101R00</t>
  </si>
  <si>
    <t>M210VD</t>
  </si>
  <si>
    <t>210VD</t>
  </si>
  <si>
    <t>611379VD</t>
  </si>
  <si>
    <t>48454526VD</t>
  </si>
  <si>
    <t>611380VD</t>
  </si>
  <si>
    <t>Sociální zařízení  mateřské školy na Hlubčické č.p. 89</t>
  </si>
  <si>
    <t>stavební úpravy s modernizací</t>
  </si>
  <si>
    <t>Krnov</t>
  </si>
  <si>
    <t>Zkrácený popis / Varianta</t>
  </si>
  <si>
    <t>Rozměry</t>
  </si>
  <si>
    <t>Zdi podpěrné a volné</t>
  </si>
  <si>
    <t>Beton nadzákladových zdí prostý C 20/25</t>
  </si>
  <si>
    <t>Přesun hmot pro budovy zděné výšky do 6 m</t>
  </si>
  <si>
    <t>Stěny a příčky</t>
  </si>
  <si>
    <t>Ukotvení příček k cihel.konstr. kotvami na hmožd.</t>
  </si>
  <si>
    <t>Osazení revizních dvířek do SDK příček, do 0,25 m2</t>
  </si>
  <si>
    <t>Dvířka revizní se zámkem bílá 300x300 mm</t>
  </si>
  <si>
    <t>Příčky z desek pórobetonových tl. 200 mm</t>
  </si>
  <si>
    <t>Příčky z desek pórobetonových tl. 150 mm</t>
  </si>
  <si>
    <t>Příčky z desek pórobetonových tl. 100 mm</t>
  </si>
  <si>
    <t>Předsazená stěna ( šachtová) volně stoj. tl. 100mm</t>
  </si>
  <si>
    <t>1x aquapanel 12,5 mm, bez izolace</t>
  </si>
  <si>
    <t>Zazdívka rýh, potrubí, kapes cihlami tl. 6,5 cm</t>
  </si>
  <si>
    <t>Úprava povrchů vnitřní</t>
  </si>
  <si>
    <t>Zakrývání výplní vnitřních otvorů</t>
  </si>
  <si>
    <t>Oprava vápen.omítek stěn do 50 % pl. - štukových</t>
  </si>
  <si>
    <t>s použitím suché maltové směsi</t>
  </si>
  <si>
    <t>Podlahy a podlahové konstrukce</t>
  </si>
  <si>
    <t>Mazanina betonová tl. 8 - 12 cm C 16/20</t>
  </si>
  <si>
    <t>z betonu prostého</t>
  </si>
  <si>
    <t>Potěr ze SMS, ruční zpracování, tl. 50 mm</t>
  </si>
  <si>
    <t>Cementový potěr E 225</t>
  </si>
  <si>
    <t>Vyrovnávací stěrka 050, ruční zprac. tl.4 mm</t>
  </si>
  <si>
    <t>Výplně otvorů</t>
  </si>
  <si>
    <t>Osazení zárubní dveřních ocelových, pl. do 2,5 m2</t>
  </si>
  <si>
    <t>včetně dodávky zárubně  60 x 197 x 11 cm</t>
  </si>
  <si>
    <t>Izolace proti vodě</t>
  </si>
  <si>
    <t>Penetrace hloubková 0,20 l/m2</t>
  </si>
  <si>
    <t>Stěrka hydroizolační těsnicí hmotou</t>
  </si>
  <si>
    <t>Přesun hmot pro izolace proti vodě, výšky do 6 m</t>
  </si>
  <si>
    <t>Konstrukce truhlářské</t>
  </si>
  <si>
    <t>Montáž oken a dveří s vypěněním</t>
  </si>
  <si>
    <t>Dveře plastové 1křídlové 80x210 cm P</t>
  </si>
  <si>
    <t>Plastová stěna s nadsvětlíkem</t>
  </si>
  <si>
    <t>Montáž dveří do rám.zárubně 1kříd. š.do 80 cm</t>
  </si>
  <si>
    <t>Dveře vnitřní laminované plné 1kř. 70-90x197 cm</t>
  </si>
  <si>
    <t>Demontáž dřevěných stěn prosklených</t>
  </si>
  <si>
    <t>Přesun hmot pro truhlářské konstr., výšky do 6 m</t>
  </si>
  <si>
    <t>Konstrukce doplňkové stavební (zámečnické)</t>
  </si>
  <si>
    <t>Montáž zámky a kliky</t>
  </si>
  <si>
    <t>Kliky se štítem dveř.  804  bílé</t>
  </si>
  <si>
    <t>Přesun hmot pro zámečnické konstr., výšky do 6 m</t>
  </si>
  <si>
    <t>Podlahy z dlaždic</t>
  </si>
  <si>
    <t>Montáž podlah keram.,hladké, tmel, 60x60 cm</t>
  </si>
  <si>
    <t>Dlažba matná 600x600x9 mm</t>
  </si>
  <si>
    <t>Spára podlaha - stěna, silikonem</t>
  </si>
  <si>
    <t>Bandáž koutů - provedení</t>
  </si>
  <si>
    <t>Těsnicí pás do spoje podlaha - stěna</t>
  </si>
  <si>
    <t>Přesun hmot pro podlahy z dlaždic, výšky do 6 m</t>
  </si>
  <si>
    <t>Podlahy povlakové</t>
  </si>
  <si>
    <t>Lepení podlahových soklíků z PVC a vinylu</t>
  </si>
  <si>
    <t>včetně dodávky soklíku PVC</t>
  </si>
  <si>
    <t>Přesun hmot pro podlahy povlakové, výšky do 12 m</t>
  </si>
  <si>
    <t>Obklady (keramické)</t>
  </si>
  <si>
    <t>Montáž obkladů stěn, porovin., do tmele, 20x10 cm</t>
  </si>
  <si>
    <t>Flexkleber (Knauf), Fugenbund (Knauf spár. hmota)</t>
  </si>
  <si>
    <t>Obkládačka 30x60 lesk, světlý odstín</t>
  </si>
  <si>
    <t>Montáž lišt k obkladům</t>
  </si>
  <si>
    <t>rohových, koutových i dilatačních</t>
  </si>
  <si>
    <t>Lišta rohová k obkladům</t>
  </si>
  <si>
    <t>dle dohody s investorem barevnost a druh</t>
  </si>
  <si>
    <t>Přesun hmot pro obklady keramické, výšky do 6 m</t>
  </si>
  <si>
    <t>Nátěry</t>
  </si>
  <si>
    <t>Nátěr kovových doplňkových konstrukcí syntetický</t>
  </si>
  <si>
    <t>základní a jednonásobný krycí</t>
  </si>
  <si>
    <t>Malby</t>
  </si>
  <si>
    <t>Penetrace podkladu nátěrem, Klasik, 1 x</t>
  </si>
  <si>
    <t>Malba tekutá Klasik, bílá, bez penetrace, 2 x</t>
  </si>
  <si>
    <t>Hodinové zúčtovací sazby (HZS)</t>
  </si>
  <si>
    <t>Hzs-revize provoz.souboru a st.obj.</t>
  </si>
  <si>
    <t>Lešení a stavební výtahy</t>
  </si>
  <si>
    <t>Lešení lehké pomocné, výška podlahy do 1,2 m</t>
  </si>
  <si>
    <t>Přesun hmot lešení samostatně budovaného</t>
  </si>
  <si>
    <t>Různé dokončovací konstrukce a práce na pozemních stavbách</t>
  </si>
  <si>
    <t>Vyčištění budov o výšce podlaží do 4 m</t>
  </si>
  <si>
    <t>Bourání konstrukcí</t>
  </si>
  <si>
    <t>Odsekání obkladů vnitřních</t>
  </si>
  <si>
    <t>Bourání dlaždic keramických tl.1 cm, pl. do 1 m2,ručně</t>
  </si>
  <si>
    <t>ručně dlaždice keramické</t>
  </si>
  <si>
    <t>Dočištění povrchu po vybourání dlažeb, tmel do 50%</t>
  </si>
  <si>
    <t>Vybourání dřevěných stěn plochy nad 4 m2</t>
  </si>
  <si>
    <t>Vybourání kovových dveřních zárubní pl. do 2 m2</t>
  </si>
  <si>
    <t>Bourání podkladů bet., potěr tl. 15 cm, nad 4 m2</t>
  </si>
  <si>
    <t>ručně mazanina tl. 10 - 15 cm s potěrem</t>
  </si>
  <si>
    <t>Vybourání vodovod., plynového vedení DN do 52 mm</t>
  </si>
  <si>
    <t>Vybourání kanalizačního potrubí DN do 100 mm</t>
  </si>
  <si>
    <t>Bourání příček cihelných tl. 15 cm</t>
  </si>
  <si>
    <t>Bourání zdiva z cihel pálených na MVC</t>
  </si>
  <si>
    <t>Prorážení otvorů a ostatní bourací práce</t>
  </si>
  <si>
    <t>Otlučení omítek vnitřních stěn v rozsahu do 50 %</t>
  </si>
  <si>
    <t>Vysekání rýh betonová, monolitická dlažba 7x20 cm</t>
  </si>
  <si>
    <t>Vysekání rýh ve zdi cihelné 7 x 20 cm</t>
  </si>
  <si>
    <t>Vnitrostaveništní</t>
  </si>
  <si>
    <t>Vnitrostaveništní doprava suti do 10 m</t>
  </si>
  <si>
    <t>Vodorovná doprava suti a hmot po suchu do 6000 m</t>
  </si>
  <si>
    <t>Kontejner, suť bez příměsí, odvoz a likvidace, 3 t</t>
  </si>
  <si>
    <t>Přesuny sutí</t>
  </si>
  <si>
    <t>Vodorovné přemístění vyb. hmot nošením do 10 m</t>
  </si>
  <si>
    <t>Poplatek za sklád.suti-směs bet.a cihel do 30x30cm</t>
  </si>
  <si>
    <t>Tmel silikonový 310 ml kartuše</t>
  </si>
  <si>
    <t>Páska maskovací krepová 50 mm x 50 m  DB 60</t>
  </si>
  <si>
    <t>Vnitřní vodovod</t>
  </si>
  <si>
    <t>Potrubí z PPR, teplá, D 25x4,2 mm, vč. zed. výpom.</t>
  </si>
  <si>
    <t>Potrubí z PPR, teplá, D 20x3,4 mm, vč. zed. výpom.</t>
  </si>
  <si>
    <t>Potrubí z PPR Instaplast, studená, D 20x2,8 mm</t>
  </si>
  <si>
    <t>Potrubí z PPR, studená, D 16x2,2 mm, vč.zed.výpom.</t>
  </si>
  <si>
    <t>Tlaková zkouška vodovodního potrubí DN 20- 32</t>
  </si>
  <si>
    <t>Proplach a dezinfekce vodovod.potrubí DN 20</t>
  </si>
  <si>
    <t>Kohout kulový nerozebíratelný PP-R D 20</t>
  </si>
  <si>
    <t>Izolace návleková tl. stěny 6 mm</t>
  </si>
  <si>
    <t>vnitřní průměr 20 mm</t>
  </si>
  <si>
    <t>Nástěnka MZD PP-R D 20xR1/2</t>
  </si>
  <si>
    <t>Přesun hmot pro vnitřní vodovod, výšky do 6 m</t>
  </si>
  <si>
    <t>Zařizovací předměty</t>
  </si>
  <si>
    <t>Umyvadlo Plus bílé s otv. bat. 600x490x195mm</t>
  </si>
  <si>
    <t>Baby umyvadlo 50 x 37 cm, bílé</t>
  </si>
  <si>
    <t>Sifon umyvadlový d 40 mm</t>
  </si>
  <si>
    <t>Baterie umyvadlová stoján, jedna voda bez otvír.odpadu</t>
  </si>
  <si>
    <t>standardní</t>
  </si>
  <si>
    <t>Baterie sprchová nástěnná  jedna voda s příslušenstvím.</t>
  </si>
  <si>
    <t>Ventil rohový bez přípoj. trubičky G 1/2</t>
  </si>
  <si>
    <t>Montáž předstěnových systémů do sádrokartonu</t>
  </si>
  <si>
    <t>Montáž klozetu závěsného</t>
  </si>
  <si>
    <t>Klozet závěsný Kind klozet závěsný dětský, modul, tlačítka, sedátko</t>
  </si>
  <si>
    <t>Klozet závěsný + sedátko, bílý</t>
  </si>
  <si>
    <t>Montáž uzávěrek zápach.dřez.jednoduchý D 40</t>
  </si>
  <si>
    <t>Demontáž klozetů splachovacích</t>
  </si>
  <si>
    <t>Demontáž a zpět.montáž umyvadla s 1stoj.ventilem</t>
  </si>
  <si>
    <t>Demontáž těles otopných článkových, plyn</t>
  </si>
  <si>
    <t>Montáž žlabů ocelových jednoduchých dl.1000</t>
  </si>
  <si>
    <t>Podlahový žlab l = 750 mm</t>
  </si>
  <si>
    <t>Zednické výpomoci hsv       čl.13-2</t>
  </si>
  <si>
    <t>Přesun hmot pro zařizovací předměty, výšky do 6 m</t>
  </si>
  <si>
    <t>Hzs-nezmeritelne stavebni prace</t>
  </si>
  <si>
    <t>Hzs-zkousky v ramci montaz.praci</t>
  </si>
  <si>
    <t>Vnitřní kanalizace</t>
  </si>
  <si>
    <t>Vyvedení odpadních výpustek D 110 x 2,3</t>
  </si>
  <si>
    <t>Potrubí HT svodné (ležaté) v zemi D 110 x 2,7 mm</t>
  </si>
  <si>
    <t>Potrubí HT připojovací D 110 x 2,7 mm</t>
  </si>
  <si>
    <t>Zkouška těsnosti potrubí, DN 100 - 125</t>
  </si>
  <si>
    <t>Potrubí HT připojovací D 75 x 1,9 mm</t>
  </si>
  <si>
    <t>Potrubí HT připojovací D 50 x 1,8 mm</t>
  </si>
  <si>
    <t>Zkouška těsnosti potrubí, DN 50 - 80</t>
  </si>
  <si>
    <t>Potrubí HT připojovací D 40 x 1,8 mm</t>
  </si>
  <si>
    <t>Zkouška těsnosti potrubí, DN do 40</t>
  </si>
  <si>
    <t>Vyvedení odpadních výpustek D 50 x 1,8</t>
  </si>
  <si>
    <t>Vyvedení odpadních výpustek D 40 x 1,8</t>
  </si>
  <si>
    <t>Přesun hmot pro vnitřní kanalizaci, výšky do 6 m</t>
  </si>
  <si>
    <t>Ostatní konstrukce a práce na trubním vedení</t>
  </si>
  <si>
    <t>Kontrola kanalizace TV kamerou do 15 m</t>
  </si>
  <si>
    <t>Zemní práce při montážích</t>
  </si>
  <si>
    <t>Průraz zdivem v cihlové zdi tloušťky 30 cm</t>
  </si>
  <si>
    <t>do průměru 6 cm</t>
  </si>
  <si>
    <t>Rozvod potrubí</t>
  </si>
  <si>
    <t>Potrubí měděné Supersan 18 x 1 mm, polotvrdé</t>
  </si>
  <si>
    <t>Potrubí měděné Supersan 15 x 1 mm, polotvrdé</t>
  </si>
  <si>
    <t>Tlaková zkouška potrubí  DN 32</t>
  </si>
  <si>
    <t>Šroubení reg.rohové,vnitř. DN 10</t>
  </si>
  <si>
    <t>Izolace návleková tl. stěny 13 mm</t>
  </si>
  <si>
    <t>vnitřní průměr 15 mm</t>
  </si>
  <si>
    <t>Hzs-zkousky v ramci montaz.praci kotle, ÚT</t>
  </si>
  <si>
    <t>Topná zkouška</t>
  </si>
  <si>
    <t>Nátěr syntetický potrubí do DN 50 mm  Z + 2x</t>
  </si>
  <si>
    <t>Kohout kulový,vnitř.-vnitř. DN 20</t>
  </si>
  <si>
    <t>Přesun hmot pro rozvody potrubí, výšky do 24 m</t>
  </si>
  <si>
    <t>Otopná tělesa</t>
  </si>
  <si>
    <t>Montáž otopných těles koupelnových (žebříků)</t>
  </si>
  <si>
    <t>Těleso otopné trubk. 900.750</t>
  </si>
  <si>
    <t>Montáž panel.těles 2řadých, s odvzduš.,1200 mm</t>
  </si>
  <si>
    <t>Těleso otop. des. typ 21 v.600 dl.600mm</t>
  </si>
  <si>
    <t>Ventil termostatický,rohový R401H DN 15</t>
  </si>
  <si>
    <t>Ventily odvzdušňovací ot.těles V 4320, G 3/8"</t>
  </si>
  <si>
    <t>Vyregulování ventilů s termost.ovládáním</t>
  </si>
  <si>
    <t>Napuštění vody do otopného systému - bez kotle</t>
  </si>
  <si>
    <t>Vyzkoušení otopných těles ocelových tlakem</t>
  </si>
  <si>
    <t>Přesun hmot pro otopná tělesa, výšky do 6 m</t>
  </si>
  <si>
    <t>Elektro montáže</t>
  </si>
  <si>
    <t>Elektromontáže " bude upřesněno "</t>
  </si>
  <si>
    <t>Dělící stěna WC</t>
  </si>
  <si>
    <t>Infrasauna pro 7 dětí</t>
  </si>
  <si>
    <t>Přebalovací pult sklápěcí</t>
  </si>
  <si>
    <t>30.04.2019</t>
  </si>
  <si>
    <t>MJ</t>
  </si>
  <si>
    <t>m3</t>
  </si>
  <si>
    <t>t</t>
  </si>
  <si>
    <t>m</t>
  </si>
  <si>
    <t>kus</t>
  </si>
  <si>
    <t>m2</t>
  </si>
  <si>
    <t>sada</t>
  </si>
  <si>
    <t>h</t>
  </si>
  <si>
    <t>soubor</t>
  </si>
  <si>
    <t>úsek</t>
  </si>
  <si>
    <t>Množství</t>
  </si>
  <si>
    <t>Cena/MJ</t>
  </si>
  <si>
    <t>(Kč)</t>
  </si>
  <si>
    <t>Město Krnov</t>
  </si>
  <si>
    <t>JANKO Projekt s.r.o.  Krnov</t>
  </si>
  <si>
    <t> </t>
  </si>
  <si>
    <t>Boris Mičánek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</si>
  <si>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</si>
  <si>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</si>
  <si>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</si>
  <si>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</si>
  <si>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</si>
  <si>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</si>
  <si>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</si>
  <si>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</si>
  <si>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</si>
  <si>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0</t>
  </si>
  <si>
    <t>31_</t>
  </si>
  <si>
    <t>34_</t>
  </si>
  <si>
    <t>61_</t>
  </si>
  <si>
    <t>63_</t>
  </si>
  <si>
    <t>64_</t>
  </si>
  <si>
    <t>711_</t>
  </si>
  <si>
    <t>766_</t>
  </si>
  <si>
    <t>767_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</si>
  <si>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</si>
  <si>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</si>
  <si>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</si>
  <si>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</si>
  <si>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</si>
  <si>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</si>
  <si>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</si>
  <si>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</si>
  <si>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</si>
  <si>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97_</t>
  </si>
  <si>
    <t>979_</t>
  </si>
  <si>
    <t>S_</t>
  </si>
  <si>
    <t>Z99999_</t>
  </si>
  <si>
    <t>722_</t>
  </si>
  <si>
    <t>725_</t>
  </si>
  <si>
    <t>721_</t>
  </si>
  <si>
    <t>89_</t>
  </si>
  <si>
    <t>M46_</t>
  </si>
  <si>
    <t>733_</t>
  </si>
  <si>
    <t>735_</t>
  </si>
  <si>
    <t>M210VD_</t>
  </si>
  <si>
    <t>SO1 HSV_3_</t>
  </si>
  <si>
    <t>SO1 HSV_6_</t>
  </si>
  <si>
    <t>SO1 HSV_71_</t>
  </si>
  <si>
    <t>SO1 HSV_76_</t>
  </si>
  <si>
    <t>SO1 HSV_77_</t>
  </si>
  <si>
    <t>SO1 HSV_78_</t>
  </si>
  <si>
    <t>SO1 HSV_9_</t>
  </si>
  <si>
    <t>SO1 HSV_Z_</t>
  </si>
  <si>
    <t>SO2 PSV_72_</t>
  </si>
  <si>
    <t>SO2 PSV_9_</t>
  </si>
  <si>
    <t>SO3 PSV_72_</t>
  </si>
  <si>
    <t>SO3 PSV_8_</t>
  </si>
  <si>
    <t>SO3 PSV_9_</t>
  </si>
  <si>
    <t>SO4 PSV_73_</t>
  </si>
  <si>
    <t>SO5 M_9_</t>
  </si>
  <si>
    <t>SO6_Z_</t>
  </si>
  <si>
    <t>SO1 HSV_</t>
  </si>
  <si>
    <t>SO2 PSV_</t>
  </si>
  <si>
    <t>SO3 PSV_</t>
  </si>
  <si>
    <t>SO4 PSV_</t>
  </si>
  <si>
    <t>SO5 M_</t>
  </si>
  <si>
    <t>SO6_</t>
  </si>
  <si>
    <t>MAT</t>
  </si>
  <si>
    <t>WORK</t>
  </si>
  <si>
    <t>CELK</t>
  </si>
  <si>
    <t>Výkaz výměr</t>
  </si>
  <si>
    <t>(0,5*0,15*0,15)*3   A,B,C, předpoklad dobetonávky odpadů</t>
  </si>
  <si>
    <t>(0,3*0,2*0,2)*3   A,B,C, předpoklad dobetonávky vodo inst.</t>
  </si>
  <si>
    <t>0,18   </t>
  </si>
  <si>
    <t>1+2,7+2,7   A</t>
  </si>
  <si>
    <t>1*2,7*2,7   B</t>
  </si>
  <si>
    <t>1+2,7   C</t>
  </si>
  <si>
    <t>2   A</t>
  </si>
  <si>
    <t>2   B</t>
  </si>
  <si>
    <t>2   C</t>
  </si>
  <si>
    <t>2+2+2   A,B,C,</t>
  </si>
  <si>
    <t>1,7*1,08   A</t>
  </si>
  <si>
    <t>1,7*1,08   B</t>
  </si>
  <si>
    <t>1,7*1,08   C</t>
  </si>
  <si>
    <t>2,3   A</t>
  </si>
  <si>
    <t>2*3   B</t>
  </si>
  <si>
    <t>2*3   C</t>
  </si>
  <si>
    <t>(1,08*0,8)*3   A,B,C,</t>
  </si>
  <si>
    <t>1,2*3   B</t>
  </si>
  <si>
    <t>(3*1,15)*3   A,B,C,</t>
  </si>
  <si>
    <t>18*0,2   </t>
  </si>
  <si>
    <t>4,35   </t>
  </si>
  <si>
    <t>2+2+2+2   A,B,C,</t>
  </si>
  <si>
    <t>8+8+8   A,B,C, před koupelnový prostor</t>
  </si>
  <si>
    <t>(3,13*1,9)*3   A,B,C,</t>
  </si>
  <si>
    <t>(5,82*3)*3   A,B,C,</t>
  </si>
  <si>
    <t>-(1+1+1+1)*4   A,B,C,</t>
  </si>
  <si>
    <t>0,89   </t>
  </si>
  <si>
    <t>(5,82*3,01*0,1)*3   A,B,C,</t>
  </si>
  <si>
    <t>(5,82*3,01)*3   A,B,C,</t>
  </si>
  <si>
    <t>19,17   </t>
  </si>
  <si>
    <t>1   B</t>
  </si>
  <si>
    <t>0,03   </t>
  </si>
  <si>
    <t>(5,9*1,5)*3   A,B,C,</t>
  </si>
  <si>
    <t>1+1+1   rezerva</t>
  </si>
  <si>
    <t>((1,7+1,7+0,2)*1,08)*3   A,B,C,</t>
  </si>
  <si>
    <t>(5,9*1,5)*3   A,B,C</t>
  </si>
  <si>
    <t>((2+2+0,15)*1,5)*3   A,B,C</t>
  </si>
  <si>
    <t>0,13   </t>
  </si>
  <si>
    <t>5   </t>
  </si>
  <si>
    <t>6   </t>
  </si>
  <si>
    <t>1   </t>
  </si>
  <si>
    <t>3   </t>
  </si>
  <si>
    <t>0,2*5   </t>
  </si>
  <si>
    <t>0,2*6   </t>
  </si>
  <si>
    <t>8,2   </t>
  </si>
  <si>
    <t>4   </t>
  </si>
  <si>
    <t>2   </t>
  </si>
  <si>
    <t>18   </t>
  </si>
  <si>
    <t>0,3*7   </t>
  </si>
  <si>
    <t>6,3   </t>
  </si>
  <si>
    <t>7   </t>
  </si>
  <si>
    <t>959,9   </t>
  </si>
  <si>
    <t>(2+2+2)*3   </t>
  </si>
  <si>
    <t>(0,3*6)*3   </t>
  </si>
  <si>
    <t>2*2   </t>
  </si>
  <si>
    <t>(1,5*5)*3   A,B,C,</t>
  </si>
  <si>
    <t>3   B</t>
  </si>
  <si>
    <t>2+2+2   </t>
  </si>
  <si>
    <t>18+9,4+25,5+6   </t>
  </si>
  <si>
    <t>58,9   </t>
  </si>
  <si>
    <t>14   A</t>
  </si>
  <si>
    <t>15   B</t>
  </si>
  <si>
    <t>14   C</t>
  </si>
  <si>
    <t>0,27   </t>
  </si>
  <si>
    <t>4   Kind klozet závěsný dětský,</t>
  </si>
  <si>
    <t>4   modul pevná konstrukce nastavitelná,</t>
  </si>
  <si>
    <t>4   tlačítka, sedátko</t>
  </si>
  <si>
    <t>4254,5   </t>
  </si>
  <si>
    <t>0,1421   </t>
  </si>
  <si>
    <t>4+4   </t>
  </si>
  <si>
    <t>1+1   </t>
  </si>
  <si>
    <t>130+71+10,5   </t>
  </si>
  <si>
    <t>3+3   </t>
  </si>
  <si>
    <t>3   cca předpoklad</t>
  </si>
  <si>
    <t>4+4+2   </t>
  </si>
  <si>
    <t>1089   </t>
  </si>
  <si>
    <t>0,2   </t>
  </si>
  <si>
    <t>9   </t>
  </si>
  <si>
    <t>20   </t>
  </si>
  <si>
    <t>0,0637   </t>
  </si>
  <si>
    <t>(1,73+1,73+2,8+2,8)*3   A,B,C,</t>
  </si>
  <si>
    <t>(1,71+1,71+2,8+2,8)*3   A,B,C,</t>
  </si>
  <si>
    <t>(1,06+1,06+0,6+0,6)*3   A,B,C,</t>
  </si>
  <si>
    <t>(1,06+1,06+2,1+2,1)*3   A,B,C,</t>
  </si>
  <si>
    <t>1+1+1   A,B,C,</t>
  </si>
  <si>
    <t>(1,71*2,8)*3   A,B,C,</t>
  </si>
  <si>
    <t>(1,73*2,8)*3   A,B,C,</t>
  </si>
  <si>
    <t>(1,06*0,6)*3   A,B,C,</t>
  </si>
  <si>
    <t>((1,73+1,06+1,71)*2,8)*3   </t>
  </si>
  <si>
    <t>1,64   </t>
  </si>
  <si>
    <t>1   A</t>
  </si>
  <si>
    <t>1   C</t>
  </si>
  <si>
    <t>0,02   </t>
  </si>
  <si>
    <t>(5,82*3,01)*3   A,B,C</t>
  </si>
  <si>
    <t>55,18   </t>
  </si>
  <si>
    <t>3+5,9+4+3+2+2   A</t>
  </si>
  <si>
    <t>3+5,9+3+5,9+2+2   B</t>
  </si>
  <si>
    <t>3+5,9+3+5,9+2+2   C</t>
  </si>
  <si>
    <t>(0,8+0,8+1,5+1,5)*3   A,B,C,</t>
  </si>
  <si>
    <t>13,8   </t>
  </si>
  <si>
    <t>1,44   </t>
  </si>
  <si>
    <t>5*3   A,B,C</t>
  </si>
  <si>
    <t>0,01   </t>
  </si>
  <si>
    <t>((1,7+1,7+0,2)*1,08)*3   A,B,C, umyvadla stěna</t>
  </si>
  <si>
    <t>(0,2*1,08)*3   </t>
  </si>
  <si>
    <t>(0,2*1,7)*3   </t>
  </si>
  <si>
    <t>(0,8*0,15)*3   </t>
  </si>
  <si>
    <t>((1,08*0,8)*2)*3   A,B,C, zástěna sprch. kout</t>
  </si>
  <si>
    <t>0,15*1,08*3   </t>
  </si>
  <si>
    <t>((5,82+3,13+3,13+1,2+0,7)*1,5)*3   A,B,C, obvody stěn</t>
  </si>
  <si>
    <t>((2+2+0,15)*1,5)*3   A,B,C stěna tl. 15cm</t>
  </si>
  <si>
    <t>(0,7+0,7)*1,5   B</t>
  </si>
  <si>
    <t>103,05   </t>
  </si>
  <si>
    <t>;ztratné 5%; 5,1525   </t>
  </si>
  <si>
    <t>(2+2+1,5+1,5)*3   A,B,C,</t>
  </si>
  <si>
    <t>(1,1+1,1+1+1)*3   A,B,C,</t>
  </si>
  <si>
    <t>(1,5*4)*3   A,B,C,</t>
  </si>
  <si>
    <t>(1,5+1,5)*2   B,C,</t>
  </si>
  <si>
    <t>61   dle dohody s investorem barevnost a druh</t>
  </si>
  <si>
    <t>2,36   </t>
  </si>
  <si>
    <t>2+2   nutno upřesnit</t>
  </si>
  <si>
    <t>(3,13*1,5)*3   A,B,C,</t>
  </si>
  <si>
    <t>(4*1,5)*2   B,C,</t>
  </si>
  <si>
    <t>1+1+1   A,B,C</t>
  </si>
  <si>
    <t>10   </t>
  </si>
  <si>
    <t>4+4+4   A,B,C stávající rozvody prověřit</t>
  </si>
  <si>
    <t>4+4+4   A,B,C prověřit úsek těsnosti kanalizace</t>
  </si>
  <si>
    <t>74,69   </t>
  </si>
  <si>
    <t>0,2332   </t>
  </si>
  <si>
    <t>40+40+40   A,B,C,</t>
  </si>
  <si>
    <t>(3,13*1,8)*2   </t>
  </si>
  <si>
    <t>5,9*1,8   </t>
  </si>
  <si>
    <t>(2*1,08)*2   </t>
  </si>
  <si>
    <t>(1,9*1,8)*2   </t>
  </si>
  <si>
    <t>(0,8*0,8)*2   </t>
  </si>
  <si>
    <t>(3,13*5,7)*3   </t>
  </si>
  <si>
    <t>53,52   </t>
  </si>
  <si>
    <t>((1,71+1,06+1,73)*2,8)*3   A,B,C,</t>
  </si>
  <si>
    <t>(5,82*3,01*0,15)*3   A,B,C</t>
  </si>
  <si>
    <t>3*3   </t>
  </si>
  <si>
    <t>2*3   </t>
  </si>
  <si>
    <t>1*3   </t>
  </si>
  <si>
    <t>(0,2*4)*3   </t>
  </si>
  <si>
    <t>3*3   A</t>
  </si>
  <si>
    <t>(0,2*1,08*2)*3   A,B,C,</t>
  </si>
  <si>
    <t>3,13*2,7   A</t>
  </si>
  <si>
    <t>(3,13*2,7)*2   B</t>
  </si>
  <si>
    <t>(3,13*2,7)*2   C</t>
  </si>
  <si>
    <t>(5,9*2,7)*3   A,B,C</t>
  </si>
  <si>
    <t>-4*3   A,B,C</t>
  </si>
  <si>
    <t>1+1+1   </t>
  </si>
  <si>
    <t>26,52   </t>
  </si>
  <si>
    <t>2,11   </t>
  </si>
  <si>
    <t>28,63   </t>
  </si>
  <si>
    <t>1+1+1   A,B,C, předpoklad úprav elektromontáží</t>
  </si>
  <si>
    <t>osvětlení, vypínače, zásuvky, pr. chrániče   </t>
  </si>
  <si>
    <t>Potřebné množství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</si>
</sst>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d/mm/yy"/>
    <numFmt numFmtId="167" formatCode="dd\.mmmm\.yy"/>
  </numFmts>
  <fonts count="5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sz val="10"/>
      <color indexed="59"/>
      <name val="Arial"/>
      <family val="0"/>
    </font>
    <font>
      <i/>
      <sz val="9"/>
      <color indexed="61"/>
      <name val="Arial"/>
      <family val="0"/>
    </font>
    <font>
      <i/>
      <sz val="9"/>
      <color indexed="6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7" fillId="20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165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78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 applyProtection="1">
      <alignment horizontal="right"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9" fontId="9" fillId="0" borderId="24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25" xfId="0" applyNumberFormat="1" applyFont="1" applyFill="1" applyBorder="1" applyAlignment="1" applyProtection="1">
      <alignment horizontal="right" vertical="center"/>
      <protection/>
    </xf>
    <xf numFmtId="49" fontId="9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25" xfId="0" applyNumberFormat="1" applyFont="1" applyFill="1" applyBorder="1" applyAlignment="1" applyProtection="1">
      <alignment horizontal="left" vertical="center"/>
      <protection/>
    </xf>
    <xf numFmtId="49" fontId="9" fillId="0" borderId="26" xfId="0" applyNumberFormat="1" applyFont="1" applyFill="1" applyBorder="1" applyAlignment="1" applyProtection="1">
      <alignment horizontal="right" vertical="center"/>
      <protection/>
    </xf>
    <xf numFmtId="4" fontId="9" fillId="0" borderId="26" xfId="0" applyNumberFormat="1" applyFont="1" applyFill="1" applyBorder="1" applyAlignment="1" applyProtection="1">
      <alignment horizontal="right" vertical="center"/>
      <protection/>
    </xf>
    <xf numFmtId="49" fontId="1" fillId="0" borderId="27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29" xfId="0" applyNumberFormat="1" applyFont="1" applyFill="1" applyBorder="1" applyAlignment="1" applyProtection="1">
      <alignment horizontal="center" vertical="center"/>
      <protection/>
    </xf>
    <xf numFmtId="49" fontId="9" fillId="0" borderId="25" xfId="0" applyNumberFormat="1" applyFont="1" applyFill="1" applyBorder="1" applyAlignment="1" applyProtection="1">
      <alignment horizontal="center" vertical="center"/>
      <protection/>
    </xf>
    <xf numFmtId="49" fontId="9" fillId="0" borderId="30" xfId="0" applyNumberFormat="1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6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49" fontId="1" fillId="0" borderId="32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49" fontId="10" fillId="34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left" vertical="center"/>
      <protection/>
    </xf>
    <xf numFmtId="49" fontId="1" fillId="0" borderId="28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49" fontId="9" fillId="0" borderId="27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3" xfId="0" applyNumberFormat="1" applyFont="1" applyFill="1" applyBorder="1" applyAlignment="1" applyProtection="1">
      <alignment horizontal="center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14" fillId="34" borderId="0" xfId="0" applyNumberFormat="1" applyFont="1" applyFill="1" applyBorder="1" applyAlignment="1" applyProtection="1">
      <alignment horizontal="right" vertical="center"/>
      <protection/>
    </xf>
    <xf numFmtId="49" fontId="9" fillId="0" borderId="35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left" vertical="center"/>
      <protection/>
    </xf>
    <xf numFmtId="49" fontId="9" fillId="0" borderId="36" xfId="0" applyNumberFormat="1" applyFont="1" applyFill="1" applyBorder="1" applyAlignment="1" applyProtection="1">
      <alignment horizontal="right" vertical="center"/>
      <protection/>
    </xf>
    <xf numFmtId="4" fontId="12" fillId="0" borderId="16" xfId="0" applyNumberFormat="1" applyFont="1" applyFill="1" applyBorder="1" applyAlignment="1" applyProtection="1">
      <alignment horizontal="right" vertical="center"/>
      <protection/>
    </xf>
    <xf numFmtId="4" fontId="17" fillId="0" borderId="0" xfId="0" applyNumberFormat="1" applyFont="1" applyFill="1" applyBorder="1" applyAlignment="1" applyProtection="1">
      <alignment horizontal="right" vertical="center"/>
      <protection/>
    </xf>
    <xf numFmtId="4" fontId="18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3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39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41" xfId="0" applyNumberFormat="1" applyFont="1" applyFill="1" applyBorder="1" applyAlignment="1" applyProtection="1">
      <alignment horizontal="center" vertical="center"/>
      <protection/>
    </xf>
    <xf numFmtId="49" fontId="7" fillId="0" borderId="42" xfId="0" applyNumberFormat="1" applyFont="1" applyFill="1" applyBorder="1" applyAlignment="1" applyProtection="1">
      <alignment horizontal="left" vertical="center"/>
      <protection/>
    </xf>
    <xf numFmtId="0" fontId="7" fillId="0" borderId="21" xfId="0" applyNumberFormat="1" applyFont="1" applyFill="1" applyBorder="1" applyAlignment="1" applyProtection="1">
      <alignment horizontal="left" vertical="center"/>
      <protection/>
    </xf>
    <xf numFmtId="49" fontId="5" fillId="0" borderId="42" xfId="0" applyNumberFormat="1" applyFont="1" applyFill="1" applyBorder="1" applyAlignment="1" applyProtection="1">
      <alignment horizontal="left" vertical="center"/>
      <protection/>
    </xf>
    <xf numFmtId="0" fontId="5" fillId="0" borderId="21" xfId="0" applyNumberFormat="1" applyFont="1" applyFill="1" applyBorder="1" applyAlignment="1" applyProtection="1">
      <alignment horizontal="left" vertical="center"/>
      <protection/>
    </xf>
    <xf numFmtId="49" fontId="4" fillId="0" borderId="42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49" fontId="4" fillId="33" borderId="42" xfId="0" applyNumberFormat="1" applyFont="1" applyFill="1" applyBorder="1" applyAlignment="1" applyProtection="1">
      <alignment horizontal="left" vertical="center"/>
      <protection/>
    </xf>
    <xf numFmtId="0" fontId="4" fillId="33" borderId="41" xfId="0" applyNumberFormat="1" applyFont="1" applyFill="1" applyBorder="1" applyAlignment="1" applyProtection="1">
      <alignment horizontal="left" vertical="center"/>
      <protection/>
    </xf>
    <xf numFmtId="49" fontId="5" fillId="0" borderId="43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4" xfId="0" applyNumberFormat="1" applyFont="1" applyFill="1" applyBorder="1" applyAlignment="1" applyProtection="1">
      <alignment horizontal="left" vertical="center"/>
      <protection/>
    </xf>
    <xf numFmtId="49" fontId="5" fillId="0" borderId="2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45" xfId="0" applyNumberFormat="1" applyFont="1" applyFill="1" applyBorder="1" applyAlignment="1" applyProtection="1">
      <alignment horizontal="left" vertical="center"/>
      <protection/>
    </xf>
    <xf numFmtId="49" fontId="5" fillId="0" borderId="46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47" xfId="0" applyNumberFormat="1" applyFont="1" applyFill="1" applyBorder="1" applyAlignment="1" applyProtection="1">
      <alignment horizontal="left" vertical="center"/>
      <protection/>
    </xf>
    <xf numFmtId="49" fontId="4" fillId="0" borderId="23" xfId="0" applyNumberFormat="1" applyFont="1" applyFill="1" applyBorder="1" applyAlignment="1" applyProtection="1">
      <alignment horizontal="left" vertical="center"/>
      <protection/>
    </xf>
    <xf numFmtId="0" fontId="4" fillId="0" borderId="23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left" vertical="center"/>
      <protection/>
    </xf>
    <xf numFmtId="0" fontId="9" fillId="0" borderId="49" xfId="0" applyNumberFormat="1" applyFont="1" applyFill="1" applyBorder="1" applyAlignment="1" applyProtection="1">
      <alignment horizontal="left" vertical="center"/>
      <protection/>
    </xf>
    <xf numFmtId="0" fontId="9" fillId="0" borderId="50" xfId="0" applyNumberFormat="1" applyFont="1" applyFill="1" applyBorder="1" applyAlignment="1" applyProtection="1">
      <alignment horizontal="left" vertical="center"/>
      <protection/>
    </xf>
    <xf numFmtId="49" fontId="1" fillId="0" borderId="42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51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2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22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49" fontId="4" fillId="0" borderId="53" xfId="0" applyNumberFormat="1" applyFont="1" applyFill="1" applyBorder="1" applyAlignment="1" applyProtection="1">
      <alignment horizontal="left" vertical="center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4" fillId="0" borderId="54" xfId="0" applyNumberFormat="1" applyFont="1" applyFill="1" applyBorder="1" applyAlignment="1" applyProtection="1">
      <alignment horizontal="left" vertical="center"/>
      <protection/>
    </xf>
    <xf numFmtId="4" fontId="4" fillId="0" borderId="53" xfId="0" applyNumberFormat="1" applyFont="1" applyFill="1" applyBorder="1" applyAlignment="1" applyProtection="1">
      <alignment horizontal="right" vertical="center"/>
      <protection/>
    </xf>
    <xf numFmtId="0" fontId="4" fillId="0" borderId="22" xfId="0" applyNumberFormat="1" applyFont="1" applyFill="1" applyBorder="1" applyAlignment="1" applyProtection="1">
      <alignment horizontal="right" vertical="center"/>
      <protection/>
    </xf>
    <xf numFmtId="0" fontId="4" fillId="0" borderId="54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55" xfId="0" applyNumberFormat="1" applyFont="1" applyFill="1" applyBorder="1" applyAlignment="1" applyProtection="1">
      <alignment horizontal="left" vertical="center"/>
      <protection/>
    </xf>
    <xf numFmtId="0" fontId="1" fillId="0" borderId="56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  <xf numFmtId="49" fontId="1" fillId="0" borderId="57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9" fillId="0" borderId="48" xfId="0" applyNumberFormat="1" applyFont="1" applyFill="1" applyBorder="1" applyAlignment="1" applyProtection="1">
      <alignment horizontal="center" vertical="center"/>
      <protection/>
    </xf>
    <xf numFmtId="0" fontId="9" fillId="0" borderId="49" xfId="0" applyNumberFormat="1" applyFont="1" applyFill="1" applyBorder="1" applyAlignment="1" applyProtection="1">
      <alignment horizontal="center" vertical="center"/>
      <protection/>
    </xf>
    <xf numFmtId="0" fontId="9" fillId="0" borderId="50" xfId="0" applyNumberFormat="1" applyFont="1" applyFill="1" applyBorder="1" applyAlignment="1" applyProtection="1">
      <alignment horizontal="center" vertical="center"/>
      <protection/>
    </xf>
    <xf numFmtId="49" fontId="9" fillId="0" borderId="56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16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57" xfId="0" applyNumberFormat="1" applyFont="1" applyFill="1" applyBorder="1" applyAlignment="1" applyProtection="1">
      <alignment horizontal="left" vertical="center"/>
      <protection/>
    </xf>
    <xf numFmtId="0" fontId="9" fillId="0" borderId="16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3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left" vertical="center"/>
      <protection/>
    </xf>
    <xf numFmtId="49" fontId="14" fillId="34" borderId="0" xfId="0" applyNumberFormat="1" applyFont="1" applyFill="1" applyBorder="1" applyAlignment="1" applyProtection="1">
      <alignment horizontal="left" vertical="center"/>
      <protection/>
    </xf>
    <xf numFmtId="0" fontId="14" fillId="34" borderId="0" xfId="0" applyNumberFormat="1" applyFont="1" applyFill="1" applyBorder="1" applyAlignment="1" applyProtection="1">
      <alignment horizontal="left" vertical="center"/>
      <protection/>
    </xf>
    <xf numFmtId="49" fontId="13" fillId="0" borderId="10" xfId="0" applyNumberFormat="1" applyFont="1" applyFill="1" applyBorder="1" applyAlignment="1" applyProtection="1">
      <alignment horizontal="left" vertical="center"/>
      <protection/>
    </xf>
    <xf numFmtId="0" fontId="13" fillId="0" borderId="10" xfId="0" applyNumberFormat="1" applyFont="1" applyFill="1" applyBorder="1" applyAlignment="1" applyProtection="1">
      <alignment horizontal="left" vertical="center"/>
      <protection/>
    </xf>
    <xf numFmtId="49" fontId="9" fillId="0" borderId="59" xfId="0" applyNumberFormat="1" applyFont="1" applyFill="1" applyBorder="1" applyAlignment="1" applyProtection="1">
      <alignment horizontal="left" vertical="center"/>
      <protection/>
    </xf>
    <xf numFmtId="0" fontId="9" fillId="0" borderId="60" xfId="0" applyNumberFormat="1" applyFont="1" applyFill="1" applyBorder="1" applyAlignment="1" applyProtection="1">
      <alignment horizontal="left" vertical="center"/>
      <protection/>
    </xf>
    <xf numFmtId="49" fontId="12" fillId="0" borderId="16" xfId="0" applyNumberFormat="1" applyFont="1" applyFill="1" applyBorder="1" applyAlignment="1" applyProtection="1">
      <alignment horizontal="left" vertical="center"/>
      <protection/>
    </xf>
    <xf numFmtId="0" fontId="12" fillId="0" borderId="16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0" fontId="17" fillId="0" borderId="0" xfId="0" applyNumberFormat="1" applyFont="1" applyFill="1" applyBorder="1" applyAlignment="1" applyProtection="1">
      <alignment horizontal="left" vertical="center"/>
      <protection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18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5"/>
  <sheetViews>
    <sheetView tabSelected="1"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72.75" customHeight="1">
      <c r="A1" s="74"/>
      <c r="B1" s="1"/>
      <c r="C1" s="75" t="s">
        <v>23</v>
      </c>
      <c r="D1" s="76"/>
      <c r="E1" s="76"/>
      <c r="F1" s="76"/>
      <c r="G1" s="76"/>
      <c r="H1" s="76"/>
      <c r="I1" s="76"/>
    </row>
    <row r="2" spans="1:10" ht="12.75">
      <c r="A2" s="77" t="s">
        <v>0</v>
      </c>
      <c r="B2" s="78"/>
      <c r="C2" s="81" t="str">
        <f>'Stavební rozpočet'!C2</f>
        <v>Sociální zařízení  mateřské školy na Hlubčické č.p. 89</v>
      </c>
      <c r="D2" s="82"/>
      <c r="E2" s="84" t="s">
        <v>32</v>
      </c>
      <c r="F2" s="84" t="str">
        <f>'Stavební rozpočet'!I2</f>
        <v>Město Krnov</v>
      </c>
      <c r="G2" s="78"/>
      <c r="H2" s="84" t="s">
        <v>50</v>
      </c>
      <c r="I2" s="85"/>
      <c r="J2" s="15"/>
    </row>
    <row r="3" spans="1:10" ht="12.75">
      <c r="A3" s="79"/>
      <c r="B3" s="80"/>
      <c r="C3" s="83"/>
      <c r="D3" s="83"/>
      <c r="E3" s="80"/>
      <c r="F3" s="80"/>
      <c r="G3" s="80"/>
      <c r="H3" s="80"/>
      <c r="I3" s="86"/>
      <c r="J3" s="15"/>
    </row>
    <row r="4" spans="1:10" ht="12.75">
      <c r="A4" s="87" t="s">
        <v>1</v>
      </c>
      <c r="B4" s="80"/>
      <c r="C4" s="88" t="str">
        <f>'Stavební rozpočet'!C4</f>
        <v>stavební úpravy s modernizací</v>
      </c>
      <c r="D4" s="80"/>
      <c r="E4" s="88" t="s">
        <v>33</v>
      </c>
      <c r="F4" s="88" t="str">
        <f>'Stavební rozpočet'!I4</f>
        <v>JANKO Projekt s.r.o.  Krnov</v>
      </c>
      <c r="G4" s="80"/>
      <c r="H4" s="88" t="s">
        <v>50</v>
      </c>
      <c r="I4" s="89" t="s">
        <v>54</v>
      </c>
      <c r="J4" s="15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15"/>
    </row>
    <row r="6" spans="1:10" ht="12.75">
      <c r="A6" s="87" t="s">
        <v>2</v>
      </c>
      <c r="B6" s="80"/>
      <c r="C6" s="88" t="str">
        <f>'Stavební rozpočet'!C6</f>
        <v>Krnov</v>
      </c>
      <c r="D6" s="80"/>
      <c r="E6" s="88" t="s">
        <v>34</v>
      </c>
      <c r="F6" s="88" t="str">
        <f>'Stavební rozpočet'!I6</f>
        <v> </v>
      </c>
      <c r="G6" s="80"/>
      <c r="H6" s="88" t="s">
        <v>50</v>
      </c>
      <c r="I6" s="89"/>
      <c r="J6" s="15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15"/>
    </row>
    <row r="8" spans="1:10" ht="12.75">
      <c r="A8" s="87" t="s">
        <v>3</v>
      </c>
      <c r="B8" s="80"/>
      <c r="C8" s="88" t="str">
        <f>'Stavební rozpočet'!F4</f>
        <v> </v>
      </c>
      <c r="D8" s="80"/>
      <c r="E8" s="88" t="s">
        <v>35</v>
      </c>
      <c r="F8" s="88" t="str">
        <f>'Stavební rozpočet'!F6</f>
        <v> </v>
      </c>
      <c r="G8" s="80"/>
      <c r="H8" s="90" t="s">
        <v>51</v>
      </c>
      <c r="I8" s="89" t="s">
        <v>55</v>
      </c>
      <c r="J8" s="15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15"/>
    </row>
    <row r="10" spans="1:10" ht="12.75">
      <c r="A10" s="87" t="s">
        <v>4</v>
      </c>
      <c r="B10" s="80"/>
      <c r="C10" s="88">
        <f>'Stavební rozpočet'!C8</f>
        <v>80131</v>
      </c>
      <c r="D10" s="80"/>
      <c r="E10" s="88" t="s">
        <v>36</v>
      </c>
      <c r="F10" s="88" t="str">
        <f>'Stavební rozpočet'!I8</f>
        <v>Boris Mičánek</v>
      </c>
      <c r="G10" s="80"/>
      <c r="H10" s="90" t="s">
        <v>52</v>
      </c>
      <c r="I10" s="93" t="str">
        <f>'Stavební rozpočet'!F8</f>
        <v>30.04.2019</v>
      </c>
      <c r="J10" s="15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15"/>
    </row>
    <row r="12" spans="1:9" ht="23.25" customHeight="1">
      <c r="A12" s="95" t="s">
        <v>5</v>
      </c>
      <c r="B12" s="96"/>
      <c r="C12" s="96"/>
      <c r="D12" s="96"/>
      <c r="E12" s="96"/>
      <c r="F12" s="96"/>
      <c r="G12" s="96"/>
      <c r="H12" s="96"/>
      <c r="I12" s="96"/>
    </row>
    <row r="13" spans="1:10" ht="26.25" customHeight="1">
      <c r="A13" s="2" t="s">
        <v>6</v>
      </c>
      <c r="B13" s="97" t="s">
        <v>20</v>
      </c>
      <c r="C13" s="98"/>
      <c r="D13" s="2" t="s">
        <v>24</v>
      </c>
      <c r="E13" s="97" t="s">
        <v>37</v>
      </c>
      <c r="F13" s="98"/>
      <c r="G13" s="2" t="s">
        <v>38</v>
      </c>
      <c r="H13" s="97" t="s">
        <v>53</v>
      </c>
      <c r="I13" s="98"/>
      <c r="J13" s="15"/>
    </row>
    <row r="14" spans="1:10" ht="15" customHeight="1">
      <c r="A14" s="3" t="s">
        <v>7</v>
      </c>
      <c r="B14" s="8" t="s">
        <v>21</v>
      </c>
      <c r="C14" s="11">
        <f>SUM('Stavební rozpočet'!AA12:AA211)</f>
        <v>0</v>
      </c>
      <c r="D14" s="99" t="s">
        <v>25</v>
      </c>
      <c r="E14" s="100"/>
      <c r="F14" s="11">
        <f>VORN!I15</f>
        <v>0</v>
      </c>
      <c r="G14" s="99" t="s">
        <v>39</v>
      </c>
      <c r="H14" s="100"/>
      <c r="I14" s="11">
        <f>VORN!I21</f>
        <v>0</v>
      </c>
      <c r="J14" s="15"/>
    </row>
    <row r="15" spans="1:10" ht="15" customHeight="1">
      <c r="A15" s="4"/>
      <c r="B15" s="8" t="s">
        <v>22</v>
      </c>
      <c r="C15" s="11">
        <f>SUM('Stavební rozpočet'!AB12:AB211)</f>
        <v>0</v>
      </c>
      <c r="D15" s="99" t="s">
        <v>26</v>
      </c>
      <c r="E15" s="100"/>
      <c r="F15" s="11">
        <f>VORN!I16</f>
        <v>0</v>
      </c>
      <c r="G15" s="99" t="s">
        <v>40</v>
      </c>
      <c r="H15" s="100"/>
      <c r="I15" s="11">
        <f>VORN!I22</f>
        <v>0</v>
      </c>
      <c r="J15" s="15"/>
    </row>
    <row r="16" spans="1:10" ht="15" customHeight="1">
      <c r="A16" s="3" t="s">
        <v>8</v>
      </c>
      <c r="B16" s="8" t="s">
        <v>21</v>
      </c>
      <c r="C16" s="11">
        <f>SUM('Stavební rozpočet'!AC12:AC211)</f>
        <v>0</v>
      </c>
      <c r="D16" s="99" t="s">
        <v>27</v>
      </c>
      <c r="E16" s="100"/>
      <c r="F16" s="11">
        <f>VORN!I17</f>
        <v>0</v>
      </c>
      <c r="G16" s="99" t="s">
        <v>41</v>
      </c>
      <c r="H16" s="100"/>
      <c r="I16" s="11">
        <f>VORN!I23</f>
        <v>0</v>
      </c>
      <c r="J16" s="15"/>
    </row>
    <row r="17" spans="1:10" ht="15" customHeight="1">
      <c r="A17" s="4"/>
      <c r="B17" s="8" t="s">
        <v>22</v>
      </c>
      <c r="C17" s="11">
        <f>SUM('Stavební rozpočet'!AD12:AD211)</f>
        <v>0</v>
      </c>
      <c r="D17" s="99"/>
      <c r="E17" s="100"/>
      <c r="F17" s="12"/>
      <c r="G17" s="99" t="s">
        <v>42</v>
      </c>
      <c r="H17" s="100"/>
      <c r="I17" s="11">
        <f>VORN!I24</f>
        <v>0</v>
      </c>
      <c r="J17" s="15"/>
    </row>
    <row r="18" spans="1:10" ht="15" customHeight="1">
      <c r="A18" s="3" t="s">
        <v>9</v>
      </c>
      <c r="B18" s="8" t="s">
        <v>21</v>
      </c>
      <c r="C18" s="11">
        <f>SUM('Stavební rozpočet'!AE12:AE211)</f>
        <v>0</v>
      </c>
      <c r="D18" s="99"/>
      <c r="E18" s="100"/>
      <c r="F18" s="12"/>
      <c r="G18" s="99" t="s">
        <v>43</v>
      </c>
      <c r="H18" s="100"/>
      <c r="I18" s="11">
        <f>VORN!I25</f>
        <v>0</v>
      </c>
      <c r="J18" s="15"/>
    </row>
    <row r="19" spans="1:10" ht="15" customHeight="1">
      <c r="A19" s="4"/>
      <c r="B19" s="8" t="s">
        <v>22</v>
      </c>
      <c r="C19" s="11">
        <f>SUM('Stavební rozpočet'!AF12:AF211)</f>
        <v>0</v>
      </c>
      <c r="D19" s="99"/>
      <c r="E19" s="100"/>
      <c r="F19" s="12"/>
      <c r="G19" s="99" t="s">
        <v>44</v>
      </c>
      <c r="H19" s="100"/>
      <c r="I19" s="11">
        <f>VORN!I26</f>
        <v>0</v>
      </c>
      <c r="J19" s="15"/>
    </row>
    <row r="20" spans="1:10" ht="15" customHeight="1">
      <c r="A20" s="101" t="s">
        <v>10</v>
      </c>
      <c r="B20" s="102"/>
      <c r="C20" s="11">
        <f>SUM('Stavební rozpočet'!AG12:AG211)</f>
        <v>0</v>
      </c>
      <c r="D20" s="99"/>
      <c r="E20" s="100"/>
      <c r="F20" s="12"/>
      <c r="G20" s="99"/>
      <c r="H20" s="100"/>
      <c r="I20" s="12"/>
      <c r="J20" s="15"/>
    </row>
    <row r="21" spans="1:10" ht="15" customHeight="1">
      <c r="A21" s="101" t="s">
        <v>11</v>
      </c>
      <c r="B21" s="102"/>
      <c r="C21" s="11">
        <f>SUM('Stavební rozpočet'!Y12:Y211)</f>
        <v>0</v>
      </c>
      <c r="D21" s="99"/>
      <c r="E21" s="100"/>
      <c r="F21" s="12"/>
      <c r="G21" s="99"/>
      <c r="H21" s="100"/>
      <c r="I21" s="12"/>
      <c r="J21" s="15"/>
    </row>
    <row r="22" spans="1:10" ht="16.5" customHeight="1">
      <c r="A22" s="101" t="s">
        <v>12</v>
      </c>
      <c r="B22" s="102"/>
      <c r="C22" s="11">
        <f>SUM(C14:C21)</f>
        <v>0</v>
      </c>
      <c r="D22" s="101" t="s">
        <v>28</v>
      </c>
      <c r="E22" s="102"/>
      <c r="F22" s="11">
        <f>SUM(F14:F21)</f>
        <v>0</v>
      </c>
      <c r="G22" s="101" t="s">
        <v>45</v>
      </c>
      <c r="H22" s="102"/>
      <c r="I22" s="11">
        <f>SUM(I14:I21)</f>
        <v>0</v>
      </c>
      <c r="J22" s="15"/>
    </row>
    <row r="23" spans="1:10" ht="15" customHeight="1">
      <c r="A23" s="5"/>
      <c r="B23" s="5"/>
      <c r="C23" s="5"/>
      <c r="D23" s="5"/>
      <c r="E23" s="5"/>
      <c r="F23" s="13"/>
      <c r="G23" s="101" t="s">
        <v>46</v>
      </c>
      <c r="H23" s="102"/>
      <c r="I23" s="11">
        <f>vorn_sum</f>
        <v>0</v>
      </c>
      <c r="J23" s="15"/>
    </row>
    <row r="24" spans="1:9" ht="12.75">
      <c r="A24" s="1"/>
      <c r="B24" s="1"/>
      <c r="C24" s="1"/>
      <c r="G24" s="5"/>
      <c r="H24" s="5"/>
      <c r="I24" s="5"/>
    </row>
    <row r="25" spans="1:9" ht="15" customHeight="1">
      <c r="A25" s="103" t="s">
        <v>13</v>
      </c>
      <c r="B25" s="104"/>
      <c r="C25" s="17">
        <f>SUM('Stavební rozpočet'!AI12:AI211)</f>
        <v>0</v>
      </c>
      <c r="D25" s="10"/>
      <c r="E25" s="1"/>
      <c r="F25" s="1"/>
      <c r="G25" s="1"/>
      <c r="H25" s="1"/>
      <c r="I25" s="1"/>
    </row>
    <row r="26" spans="1:10" ht="15" customHeight="1">
      <c r="A26" s="103" t="s">
        <v>14</v>
      </c>
      <c r="B26" s="104"/>
      <c r="C26" s="17">
        <f>SUM('Stavební rozpočet'!AJ12:AJ211)</f>
        <v>0</v>
      </c>
      <c r="D26" s="103" t="s">
        <v>29</v>
      </c>
      <c r="E26" s="104"/>
      <c r="F26" s="17">
        <f>ROUND(C26*(15/100),2)</f>
        <v>0</v>
      </c>
      <c r="G26" s="103" t="s">
        <v>47</v>
      </c>
      <c r="H26" s="104"/>
      <c r="I26" s="17">
        <f>SUM(C25:C27)</f>
        <v>0</v>
      </c>
      <c r="J26" s="15"/>
    </row>
    <row r="27" spans="1:10" ht="15" customHeight="1">
      <c r="A27" s="103" t="s">
        <v>15</v>
      </c>
      <c r="B27" s="104"/>
      <c r="C27" s="17">
        <f>SUM('Stavební rozpočet'!AK12:AK211)+(F22+I22)</f>
        <v>0</v>
      </c>
      <c r="D27" s="103" t="s">
        <v>30</v>
      </c>
      <c r="E27" s="104"/>
      <c r="F27" s="17">
        <f>ROUND(C27*(21/100),2)</f>
        <v>0</v>
      </c>
      <c r="G27" s="103" t="s">
        <v>48</v>
      </c>
      <c r="H27" s="104"/>
      <c r="I27" s="17">
        <f>SUM(F26:F27)+I26</f>
        <v>0</v>
      </c>
      <c r="J27" s="15"/>
    </row>
    <row r="28" spans="1:9" ht="12.75">
      <c r="A28" s="6"/>
      <c r="B28" s="6"/>
      <c r="C28" s="6"/>
      <c r="D28" s="6"/>
      <c r="E28" s="6"/>
      <c r="F28" s="6"/>
      <c r="G28" s="6"/>
      <c r="H28" s="6"/>
      <c r="I28" s="6"/>
    </row>
    <row r="29" spans="1:10" ht="14.25" customHeight="1">
      <c r="A29" s="105" t="s">
        <v>16</v>
      </c>
      <c r="B29" s="106"/>
      <c r="C29" s="107"/>
      <c r="D29" s="105" t="s">
        <v>31</v>
      </c>
      <c r="E29" s="106"/>
      <c r="F29" s="107"/>
      <c r="G29" s="105" t="s">
        <v>49</v>
      </c>
      <c r="H29" s="106"/>
      <c r="I29" s="107"/>
      <c r="J29" s="16"/>
    </row>
    <row r="30" spans="1:10" ht="14.25" customHeight="1">
      <c r="A30" s="108"/>
      <c r="B30" s="109"/>
      <c r="C30" s="110"/>
      <c r="D30" s="108"/>
      <c r="E30" s="109"/>
      <c r="F30" s="110"/>
      <c r="G30" s="108"/>
      <c r="H30" s="109"/>
      <c r="I30" s="110"/>
      <c r="J30" s="16"/>
    </row>
    <row r="31" spans="1:10" ht="14.25" customHeight="1">
      <c r="A31" s="108"/>
      <c r="B31" s="109"/>
      <c r="C31" s="110"/>
      <c r="D31" s="108"/>
      <c r="E31" s="109"/>
      <c r="F31" s="110"/>
      <c r="G31" s="108"/>
      <c r="H31" s="109"/>
      <c r="I31" s="110"/>
      <c r="J31" s="16"/>
    </row>
    <row r="32" spans="1:10" ht="14.25" customHeight="1">
      <c r="A32" s="108"/>
      <c r="B32" s="109"/>
      <c r="C32" s="110"/>
      <c r="D32" s="108"/>
      <c r="E32" s="109"/>
      <c r="F32" s="110"/>
      <c r="G32" s="108"/>
      <c r="H32" s="109"/>
      <c r="I32" s="110"/>
      <c r="J32" s="16"/>
    </row>
    <row r="33" spans="1:10" ht="14.25" customHeight="1">
      <c r="A33" s="111" t="s">
        <v>17</v>
      </c>
      <c r="B33" s="112"/>
      <c r="C33" s="113"/>
      <c r="D33" s="111" t="s">
        <v>17</v>
      </c>
      <c r="E33" s="112"/>
      <c r="F33" s="113"/>
      <c r="G33" s="111" t="s">
        <v>17</v>
      </c>
      <c r="H33" s="112"/>
      <c r="I33" s="113"/>
      <c r="J33" s="16"/>
    </row>
    <row r="34" spans="1:9" ht="11.25" customHeight="1">
      <c r="A34" s="7" t="s">
        <v>18</v>
      </c>
      <c r="B34" s="9"/>
      <c r="C34" s="9"/>
      <c r="D34" s="9"/>
      <c r="E34" s="9"/>
      <c r="F34" s="9"/>
      <c r="G34" s="9"/>
      <c r="H34" s="9"/>
      <c r="I34" s="9"/>
    </row>
    <row r="35" spans="1:9" ht="25.5" customHeight="1">
      <c r="A35" s="88" t="s">
        <v>19</v>
      </c>
      <c r="B35" s="80"/>
      <c r="C35" s="80"/>
      <c r="D35" s="80"/>
      <c r="E35" s="80"/>
      <c r="F35" s="80"/>
      <c r="G35" s="80"/>
      <c r="H35" s="80"/>
      <c r="I35" s="80"/>
    </row>
  </sheetData>
  <sheetProtection/>
  <mergeCells count="80">
    <mergeCell ref="A33:C33"/>
    <mergeCell ref="D33:F33"/>
    <mergeCell ref="G33:I33"/>
    <mergeCell ref="A35:I35"/>
    <mergeCell ref="A31:C31"/>
    <mergeCell ref="D31:F31"/>
    <mergeCell ref="G31:I31"/>
    <mergeCell ref="A32:C32"/>
    <mergeCell ref="D32:F32"/>
    <mergeCell ref="G32:I32"/>
    <mergeCell ref="A29:C29"/>
    <mergeCell ref="D29:F29"/>
    <mergeCell ref="G29:I29"/>
    <mergeCell ref="A30:C30"/>
    <mergeCell ref="D30:F30"/>
    <mergeCell ref="G30:I30"/>
    <mergeCell ref="G23:H23"/>
    <mergeCell ref="A25:B25"/>
    <mergeCell ref="A26:B26"/>
    <mergeCell ref="D26:E26"/>
    <mergeCell ref="G26:H26"/>
    <mergeCell ref="A27:B27"/>
    <mergeCell ref="D27:E27"/>
    <mergeCell ref="G27:H27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1.1811023622047245" right="0.3937007874015748" top="0.5905511811023623" bottom="0.5905511811023623" header="0.5118110236220472" footer="0.5118110236220472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G22" sqref="G22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72.75" customHeight="1">
      <c r="A1" s="74"/>
      <c r="B1" s="1"/>
      <c r="C1" s="75" t="s">
        <v>64</v>
      </c>
      <c r="D1" s="76"/>
      <c r="E1" s="76"/>
      <c r="F1" s="76"/>
      <c r="G1" s="76"/>
      <c r="H1" s="76"/>
      <c r="I1" s="76"/>
    </row>
    <row r="2" spans="1:10" ht="12.75">
      <c r="A2" s="77" t="s">
        <v>0</v>
      </c>
      <c r="B2" s="78"/>
      <c r="C2" s="81" t="str">
        <f>'Stavební rozpočet'!C2</f>
        <v>Sociální zařízení  mateřské školy na Hlubčické č.p. 89</v>
      </c>
      <c r="D2" s="82"/>
      <c r="E2" s="84" t="s">
        <v>32</v>
      </c>
      <c r="F2" s="84" t="str">
        <f>'Stavební rozpočet'!I2</f>
        <v>Město Krnov</v>
      </c>
      <c r="G2" s="78"/>
      <c r="H2" s="84" t="s">
        <v>50</v>
      </c>
      <c r="I2" s="85"/>
      <c r="J2" s="15"/>
    </row>
    <row r="3" spans="1:10" ht="12.75">
      <c r="A3" s="79"/>
      <c r="B3" s="80"/>
      <c r="C3" s="83"/>
      <c r="D3" s="83"/>
      <c r="E3" s="80"/>
      <c r="F3" s="80"/>
      <c r="G3" s="80"/>
      <c r="H3" s="80"/>
      <c r="I3" s="86"/>
      <c r="J3" s="15"/>
    </row>
    <row r="4" spans="1:10" ht="12.75">
      <c r="A4" s="87" t="s">
        <v>1</v>
      </c>
      <c r="B4" s="80"/>
      <c r="C4" s="88" t="str">
        <f>'Stavební rozpočet'!C4</f>
        <v>stavební úpravy s modernizací</v>
      </c>
      <c r="D4" s="80"/>
      <c r="E4" s="88" t="s">
        <v>33</v>
      </c>
      <c r="F4" s="88" t="str">
        <f>'Stavební rozpočet'!I4</f>
        <v>JANKO Projekt s.r.o.  Krnov</v>
      </c>
      <c r="G4" s="80"/>
      <c r="H4" s="88" t="s">
        <v>50</v>
      </c>
      <c r="I4" s="89" t="s">
        <v>54</v>
      </c>
      <c r="J4" s="15"/>
    </row>
    <row r="5" spans="1:10" ht="12.75">
      <c r="A5" s="79"/>
      <c r="B5" s="80"/>
      <c r="C5" s="80"/>
      <c r="D5" s="80"/>
      <c r="E5" s="80"/>
      <c r="F5" s="80"/>
      <c r="G5" s="80"/>
      <c r="H5" s="80"/>
      <c r="I5" s="86"/>
      <c r="J5" s="15"/>
    </row>
    <row r="6" spans="1:10" ht="12.75">
      <c r="A6" s="87" t="s">
        <v>2</v>
      </c>
      <c r="B6" s="80"/>
      <c r="C6" s="88" t="str">
        <f>'Stavební rozpočet'!C6</f>
        <v>Krnov</v>
      </c>
      <c r="D6" s="80"/>
      <c r="E6" s="88" t="s">
        <v>34</v>
      </c>
      <c r="F6" s="88" t="str">
        <f>'Stavební rozpočet'!I6</f>
        <v> </v>
      </c>
      <c r="G6" s="80"/>
      <c r="H6" s="88" t="s">
        <v>50</v>
      </c>
      <c r="I6" s="89"/>
      <c r="J6" s="15"/>
    </row>
    <row r="7" spans="1:10" ht="12.75">
      <c r="A7" s="79"/>
      <c r="B7" s="80"/>
      <c r="C7" s="80"/>
      <c r="D7" s="80"/>
      <c r="E7" s="80"/>
      <c r="F7" s="80"/>
      <c r="G7" s="80"/>
      <c r="H7" s="80"/>
      <c r="I7" s="86"/>
      <c r="J7" s="15"/>
    </row>
    <row r="8" spans="1:10" ht="12.75">
      <c r="A8" s="87" t="s">
        <v>3</v>
      </c>
      <c r="B8" s="80"/>
      <c r="C8" s="88" t="str">
        <f>'Stavební rozpočet'!F4</f>
        <v> </v>
      </c>
      <c r="D8" s="80"/>
      <c r="E8" s="88" t="s">
        <v>35</v>
      </c>
      <c r="F8" s="88" t="str">
        <f>'Stavební rozpočet'!F6</f>
        <v> </v>
      </c>
      <c r="G8" s="80"/>
      <c r="H8" s="90" t="s">
        <v>51</v>
      </c>
      <c r="I8" s="89" t="s">
        <v>55</v>
      </c>
      <c r="J8" s="15"/>
    </row>
    <row r="9" spans="1:10" ht="12.75">
      <c r="A9" s="79"/>
      <c r="B9" s="80"/>
      <c r="C9" s="80"/>
      <c r="D9" s="80"/>
      <c r="E9" s="80"/>
      <c r="F9" s="80"/>
      <c r="G9" s="80"/>
      <c r="H9" s="80"/>
      <c r="I9" s="86"/>
      <c r="J9" s="15"/>
    </row>
    <row r="10" spans="1:10" ht="12.75">
      <c r="A10" s="87" t="s">
        <v>4</v>
      </c>
      <c r="B10" s="80"/>
      <c r="C10" s="88">
        <f>'Stavební rozpočet'!C8</f>
        <v>80131</v>
      </c>
      <c r="D10" s="80"/>
      <c r="E10" s="88" t="s">
        <v>36</v>
      </c>
      <c r="F10" s="88" t="str">
        <f>'Stavební rozpočet'!I8</f>
        <v>Boris Mičánek</v>
      </c>
      <c r="G10" s="80"/>
      <c r="H10" s="90" t="s">
        <v>52</v>
      </c>
      <c r="I10" s="93" t="str">
        <f>'Stavební rozpočet'!F8</f>
        <v>30.04.2019</v>
      </c>
      <c r="J10" s="15"/>
    </row>
    <row r="11" spans="1:10" ht="12.75">
      <c r="A11" s="91"/>
      <c r="B11" s="92"/>
      <c r="C11" s="92"/>
      <c r="D11" s="92"/>
      <c r="E11" s="92"/>
      <c r="F11" s="92"/>
      <c r="G11" s="92"/>
      <c r="H11" s="92"/>
      <c r="I11" s="94"/>
      <c r="J11" s="15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14" t="s">
        <v>56</v>
      </c>
      <c r="B13" s="115"/>
      <c r="C13" s="115"/>
      <c r="D13" s="115"/>
      <c r="E13" s="115"/>
      <c r="F13" s="19"/>
      <c r="G13" s="19"/>
      <c r="H13" s="19"/>
      <c r="I13" s="19"/>
    </row>
    <row r="14" spans="1:10" ht="12.75">
      <c r="A14" s="116" t="s">
        <v>57</v>
      </c>
      <c r="B14" s="117"/>
      <c r="C14" s="117"/>
      <c r="D14" s="117"/>
      <c r="E14" s="118"/>
      <c r="F14" s="20" t="s">
        <v>65</v>
      </c>
      <c r="G14" s="20" t="s">
        <v>66</v>
      </c>
      <c r="H14" s="20" t="s">
        <v>67</v>
      </c>
      <c r="I14" s="20" t="s">
        <v>65</v>
      </c>
      <c r="J14" s="16"/>
    </row>
    <row r="15" spans="1:10" ht="12.75">
      <c r="A15" s="119" t="s">
        <v>25</v>
      </c>
      <c r="B15" s="120"/>
      <c r="C15" s="120"/>
      <c r="D15" s="120"/>
      <c r="E15" s="121"/>
      <c r="F15" s="21">
        <v>0</v>
      </c>
      <c r="G15" s="24"/>
      <c r="H15" s="24"/>
      <c r="I15" s="21">
        <f>F15</f>
        <v>0</v>
      </c>
      <c r="J15" s="15"/>
    </row>
    <row r="16" spans="1:10" ht="12.75">
      <c r="A16" s="119" t="s">
        <v>26</v>
      </c>
      <c r="B16" s="120"/>
      <c r="C16" s="120"/>
      <c r="D16" s="120"/>
      <c r="E16" s="121"/>
      <c r="F16" s="21">
        <v>0</v>
      </c>
      <c r="G16" s="24"/>
      <c r="H16" s="24"/>
      <c r="I16" s="21">
        <f>F16</f>
        <v>0</v>
      </c>
      <c r="J16" s="15"/>
    </row>
    <row r="17" spans="1:10" ht="12.75">
      <c r="A17" s="122" t="s">
        <v>27</v>
      </c>
      <c r="B17" s="123"/>
      <c r="C17" s="123"/>
      <c r="D17" s="123"/>
      <c r="E17" s="124"/>
      <c r="F17" s="22">
        <v>0</v>
      </c>
      <c r="G17" s="25"/>
      <c r="H17" s="25"/>
      <c r="I17" s="22">
        <f>F17</f>
        <v>0</v>
      </c>
      <c r="J17" s="15"/>
    </row>
    <row r="18" spans="1:10" ht="12.75">
      <c r="A18" s="125" t="s">
        <v>58</v>
      </c>
      <c r="B18" s="126"/>
      <c r="C18" s="126"/>
      <c r="D18" s="126"/>
      <c r="E18" s="127"/>
      <c r="F18" s="23"/>
      <c r="G18" s="26"/>
      <c r="H18" s="26"/>
      <c r="I18" s="27">
        <f>SUM(I15:I17)</f>
        <v>0</v>
      </c>
      <c r="J18" s="16"/>
    </row>
    <row r="19" spans="1:9" ht="12.75">
      <c r="A19" s="18"/>
      <c r="B19" s="18"/>
      <c r="C19" s="18"/>
      <c r="D19" s="18"/>
      <c r="E19" s="18"/>
      <c r="F19" s="18"/>
      <c r="G19" s="18"/>
      <c r="H19" s="18"/>
      <c r="I19" s="18"/>
    </row>
    <row r="20" spans="1:10" ht="12.75">
      <c r="A20" s="116" t="s">
        <v>53</v>
      </c>
      <c r="B20" s="117"/>
      <c r="C20" s="117"/>
      <c r="D20" s="117"/>
      <c r="E20" s="118"/>
      <c r="F20" s="20" t="s">
        <v>65</v>
      </c>
      <c r="G20" s="20" t="s">
        <v>66</v>
      </c>
      <c r="H20" s="20" t="s">
        <v>67</v>
      </c>
      <c r="I20" s="20" t="s">
        <v>65</v>
      </c>
      <c r="J20" s="16"/>
    </row>
    <row r="21" spans="1:10" ht="12.75">
      <c r="A21" s="119" t="s">
        <v>39</v>
      </c>
      <c r="B21" s="120"/>
      <c r="C21" s="120"/>
      <c r="D21" s="120"/>
      <c r="E21" s="121"/>
      <c r="F21" s="24"/>
      <c r="G21" s="21">
        <v>0</v>
      </c>
      <c r="H21" s="21">
        <f>'Krycí list rozpočtu'!C22</f>
        <v>0</v>
      </c>
      <c r="I21" s="21">
        <f>(G21/100)*H21</f>
        <v>0</v>
      </c>
      <c r="J21" s="15"/>
    </row>
    <row r="22" spans="1:10" ht="12.75">
      <c r="A22" s="119" t="s">
        <v>40</v>
      </c>
      <c r="B22" s="120"/>
      <c r="C22" s="120"/>
      <c r="D22" s="120"/>
      <c r="E22" s="121"/>
      <c r="F22" s="21">
        <v>0</v>
      </c>
      <c r="G22" s="24"/>
      <c r="H22" s="24"/>
      <c r="I22" s="21">
        <f>F22</f>
        <v>0</v>
      </c>
      <c r="J22" s="15"/>
    </row>
    <row r="23" spans="1:10" ht="12.75">
      <c r="A23" s="119" t="s">
        <v>41</v>
      </c>
      <c r="B23" s="120"/>
      <c r="C23" s="120"/>
      <c r="D23" s="120"/>
      <c r="E23" s="121"/>
      <c r="F23" s="21">
        <v>0</v>
      </c>
      <c r="G23" s="24"/>
      <c r="H23" s="24"/>
      <c r="I23" s="21">
        <f>F23</f>
        <v>0</v>
      </c>
      <c r="J23" s="15"/>
    </row>
    <row r="24" spans="1:10" ht="12.75">
      <c r="A24" s="119" t="s">
        <v>42</v>
      </c>
      <c r="B24" s="120"/>
      <c r="C24" s="120"/>
      <c r="D24" s="120"/>
      <c r="E24" s="121"/>
      <c r="F24" s="21">
        <v>0</v>
      </c>
      <c r="G24" s="24"/>
      <c r="H24" s="24"/>
      <c r="I24" s="21">
        <f>F24</f>
        <v>0</v>
      </c>
      <c r="J24" s="15"/>
    </row>
    <row r="25" spans="1:10" ht="12.75">
      <c r="A25" s="119" t="s">
        <v>43</v>
      </c>
      <c r="B25" s="120"/>
      <c r="C25" s="120"/>
      <c r="D25" s="120"/>
      <c r="E25" s="121"/>
      <c r="F25" s="21">
        <v>0</v>
      </c>
      <c r="G25" s="24"/>
      <c r="H25" s="24"/>
      <c r="I25" s="21">
        <f>F25</f>
        <v>0</v>
      </c>
      <c r="J25" s="15"/>
    </row>
    <row r="26" spans="1:10" ht="12.75">
      <c r="A26" s="122" t="s">
        <v>44</v>
      </c>
      <c r="B26" s="123"/>
      <c r="C26" s="123"/>
      <c r="D26" s="123"/>
      <c r="E26" s="124"/>
      <c r="F26" s="22">
        <v>0</v>
      </c>
      <c r="G26" s="25"/>
      <c r="H26" s="25"/>
      <c r="I26" s="22">
        <f>F26</f>
        <v>0</v>
      </c>
      <c r="J26" s="15"/>
    </row>
    <row r="27" spans="1:10" ht="12.75">
      <c r="A27" s="125" t="s">
        <v>59</v>
      </c>
      <c r="B27" s="126"/>
      <c r="C27" s="126"/>
      <c r="D27" s="126"/>
      <c r="E27" s="127"/>
      <c r="F27" s="23"/>
      <c r="G27" s="26"/>
      <c r="H27" s="26"/>
      <c r="I27" s="27">
        <f>SUM(I21:I26)</f>
        <v>0</v>
      </c>
      <c r="J27" s="16"/>
    </row>
    <row r="28" spans="1:9" ht="12.75">
      <c r="A28" s="18"/>
      <c r="B28" s="18"/>
      <c r="C28" s="18"/>
      <c r="D28" s="18"/>
      <c r="E28" s="18"/>
      <c r="F28" s="18"/>
      <c r="G28" s="18"/>
      <c r="H28" s="18"/>
      <c r="I28" s="18"/>
    </row>
    <row r="29" spans="1:10" ht="15" customHeight="1">
      <c r="A29" s="128" t="s">
        <v>60</v>
      </c>
      <c r="B29" s="129"/>
      <c r="C29" s="129"/>
      <c r="D29" s="129"/>
      <c r="E29" s="130"/>
      <c r="F29" s="131">
        <f>I18+I27</f>
        <v>0</v>
      </c>
      <c r="G29" s="132"/>
      <c r="H29" s="132"/>
      <c r="I29" s="133"/>
      <c r="J29" s="16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14" t="s">
        <v>61</v>
      </c>
      <c r="B33" s="115"/>
      <c r="C33" s="115"/>
      <c r="D33" s="115"/>
      <c r="E33" s="115"/>
      <c r="F33" s="19"/>
      <c r="G33" s="19"/>
      <c r="H33" s="19"/>
      <c r="I33" s="19"/>
    </row>
    <row r="34" spans="1:10" ht="12.75">
      <c r="A34" s="116" t="s">
        <v>62</v>
      </c>
      <c r="B34" s="117"/>
      <c r="C34" s="117"/>
      <c r="D34" s="117"/>
      <c r="E34" s="118"/>
      <c r="F34" s="20" t="s">
        <v>65</v>
      </c>
      <c r="G34" s="20" t="s">
        <v>66</v>
      </c>
      <c r="H34" s="20" t="s">
        <v>67</v>
      </c>
      <c r="I34" s="20" t="s">
        <v>65</v>
      </c>
      <c r="J34" s="16"/>
    </row>
    <row r="35" spans="1:10" ht="12.75">
      <c r="A35" s="122"/>
      <c r="B35" s="123"/>
      <c r="C35" s="123"/>
      <c r="D35" s="123"/>
      <c r="E35" s="124"/>
      <c r="F35" s="22">
        <v>0</v>
      </c>
      <c r="G35" s="25"/>
      <c r="H35" s="25"/>
      <c r="I35" s="22">
        <f>F35</f>
        <v>0</v>
      </c>
      <c r="J35" s="15"/>
    </row>
    <row r="36" spans="1:10" ht="12.75">
      <c r="A36" s="125" t="s">
        <v>63</v>
      </c>
      <c r="B36" s="126"/>
      <c r="C36" s="126"/>
      <c r="D36" s="126"/>
      <c r="E36" s="127"/>
      <c r="F36" s="23"/>
      <c r="G36" s="26"/>
      <c r="H36" s="26"/>
      <c r="I36" s="27">
        <f>SUM(I35:I35)</f>
        <v>0</v>
      </c>
      <c r="J36" s="16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 horizontalCentered="1"/>
  <pageMargins left="1.1811023622047245" right="0.3937007874015748" top="0.5905511811023623" bottom="0.5905511811023623" header="0.5118110236220472" footer="0.5118110236220472"/>
  <pageSetup fitToHeight="0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34" t="s">
        <v>68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77" t="s">
        <v>0</v>
      </c>
      <c r="B2" s="78"/>
      <c r="C2" s="78"/>
      <c r="D2" s="81" t="str">
        <f>'Stavební rozpočet'!C2</f>
        <v>Sociální zařízení  mateřské školy na Hlubčické č.p. 89</v>
      </c>
      <c r="E2" s="84" t="s">
        <v>85</v>
      </c>
      <c r="F2" s="78"/>
      <c r="G2" s="84" t="str">
        <f>'Stavební rozpočet'!F2</f>
        <v> </v>
      </c>
      <c r="H2" s="78"/>
      <c r="I2" s="84" t="s">
        <v>32</v>
      </c>
      <c r="J2" s="84" t="str">
        <f>'Stavební rozpočet'!I2</f>
        <v>Město Krnov</v>
      </c>
      <c r="K2" s="78"/>
      <c r="L2" s="135"/>
      <c r="M2" s="15"/>
    </row>
    <row r="3" spans="1:13" ht="12.75">
      <c r="A3" s="79"/>
      <c r="B3" s="80"/>
      <c r="C3" s="80"/>
      <c r="D3" s="83"/>
      <c r="E3" s="80"/>
      <c r="F3" s="80"/>
      <c r="G3" s="80"/>
      <c r="H3" s="80"/>
      <c r="I3" s="80"/>
      <c r="J3" s="80"/>
      <c r="K3" s="80"/>
      <c r="L3" s="86"/>
      <c r="M3" s="15"/>
    </row>
    <row r="4" spans="1:13" ht="12.75">
      <c r="A4" s="87" t="s">
        <v>1</v>
      </c>
      <c r="B4" s="80"/>
      <c r="C4" s="80"/>
      <c r="D4" s="88" t="str">
        <f>'Stavební rozpočet'!C4</f>
        <v>stavební úpravy s modernizací</v>
      </c>
      <c r="E4" s="88" t="s">
        <v>3</v>
      </c>
      <c r="F4" s="80"/>
      <c r="G4" s="88" t="str">
        <f>'Stavební rozpočet'!F4</f>
        <v> </v>
      </c>
      <c r="H4" s="80"/>
      <c r="I4" s="88" t="s">
        <v>33</v>
      </c>
      <c r="J4" s="88" t="str">
        <f>'Stavební rozpočet'!I4</f>
        <v>JANKO Projekt s.r.o.  Krnov</v>
      </c>
      <c r="K4" s="80"/>
      <c r="L4" s="86"/>
      <c r="M4" s="15"/>
    </row>
    <row r="5" spans="1:13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6"/>
      <c r="M5" s="15"/>
    </row>
    <row r="6" spans="1:13" ht="12.75">
      <c r="A6" s="87" t="s">
        <v>2</v>
      </c>
      <c r="B6" s="80"/>
      <c r="C6" s="80"/>
      <c r="D6" s="88" t="str">
        <f>'Stavební rozpočet'!C6</f>
        <v>Krnov</v>
      </c>
      <c r="E6" s="88" t="s">
        <v>35</v>
      </c>
      <c r="F6" s="80"/>
      <c r="G6" s="88" t="str">
        <f>'Stavební rozpočet'!F6</f>
        <v> </v>
      </c>
      <c r="H6" s="80"/>
      <c r="I6" s="88" t="s">
        <v>34</v>
      </c>
      <c r="J6" s="88" t="str">
        <f>'Stavební rozpočet'!I6</f>
        <v> </v>
      </c>
      <c r="K6" s="80"/>
      <c r="L6" s="86"/>
      <c r="M6" s="15"/>
    </row>
    <row r="7" spans="1:13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6"/>
      <c r="M7" s="15"/>
    </row>
    <row r="8" spans="1:13" ht="12.75">
      <c r="A8" s="87" t="s">
        <v>4</v>
      </c>
      <c r="B8" s="80"/>
      <c r="C8" s="80"/>
      <c r="D8" s="88">
        <f>'Stavební rozpočet'!C8</f>
        <v>80131</v>
      </c>
      <c r="E8" s="88" t="s">
        <v>86</v>
      </c>
      <c r="F8" s="80"/>
      <c r="G8" s="88" t="str">
        <f>'Stavební rozpočet'!F8</f>
        <v>30.04.2019</v>
      </c>
      <c r="H8" s="80"/>
      <c r="I8" s="88" t="s">
        <v>36</v>
      </c>
      <c r="J8" s="88" t="str">
        <f>'Stavební rozpočet'!I8</f>
        <v>Boris Mičánek</v>
      </c>
      <c r="K8" s="80"/>
      <c r="L8" s="86"/>
      <c r="M8" s="15"/>
    </row>
    <row r="9" spans="1:13" ht="12.75">
      <c r="A9" s="13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5"/>
    </row>
    <row r="10" spans="1:13" ht="12.75">
      <c r="A10" s="28" t="s">
        <v>69</v>
      </c>
      <c r="B10" s="141" t="s">
        <v>69</v>
      </c>
      <c r="C10" s="142"/>
      <c r="D10" s="142"/>
      <c r="E10" s="142"/>
      <c r="F10" s="142"/>
      <c r="G10" s="142"/>
      <c r="H10" s="142"/>
      <c r="I10" s="143"/>
      <c r="J10" s="144" t="s">
        <v>87</v>
      </c>
      <c r="K10" s="145"/>
      <c r="L10" s="146"/>
      <c r="M10" s="16"/>
    </row>
    <row r="11" spans="1:13" ht="12.75">
      <c r="A11" s="29" t="s">
        <v>70</v>
      </c>
      <c r="B11" s="147" t="s">
        <v>78</v>
      </c>
      <c r="C11" s="148"/>
      <c r="D11" s="148"/>
      <c r="E11" s="148"/>
      <c r="F11" s="148"/>
      <c r="G11" s="148"/>
      <c r="H11" s="148"/>
      <c r="I11" s="149"/>
      <c r="J11" s="33" t="s">
        <v>88</v>
      </c>
      <c r="K11" s="34" t="s">
        <v>22</v>
      </c>
      <c r="L11" s="35" t="s">
        <v>90</v>
      </c>
      <c r="M11" s="16"/>
    </row>
    <row r="12" spans="1:16" ht="12.75">
      <c r="A12" s="30" t="s">
        <v>71</v>
      </c>
      <c r="B12" s="150" t="s">
        <v>79</v>
      </c>
      <c r="C12" s="142"/>
      <c r="D12" s="142"/>
      <c r="E12" s="142"/>
      <c r="F12" s="142"/>
      <c r="G12" s="142"/>
      <c r="H12" s="142"/>
      <c r="I12" s="142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91</v>
      </c>
      <c r="N12" s="36">
        <f aca="true" t="shared" si="0" ref="N12:N17">IF(M12="F",0,L12)</f>
        <v>0</v>
      </c>
      <c r="O12" s="14" t="s">
        <v>71</v>
      </c>
      <c r="P12" s="36">
        <f aca="true" t="shared" si="1" ref="P12:P17">IF(M12="T",0,L12)</f>
        <v>0</v>
      </c>
    </row>
    <row r="13" spans="1:16" ht="12.75">
      <c r="A13" s="14" t="s">
        <v>72</v>
      </c>
      <c r="B13" s="90" t="s">
        <v>80</v>
      </c>
      <c r="C13" s="80"/>
      <c r="D13" s="80"/>
      <c r="E13" s="80"/>
      <c r="F13" s="80"/>
      <c r="G13" s="80"/>
      <c r="H13" s="80"/>
      <c r="I13" s="80"/>
      <c r="J13" s="36">
        <f>'Stavební rozpočet'!I119</f>
        <v>0</v>
      </c>
      <c r="K13" s="36">
        <f>'Stavební rozpočet'!J119</f>
        <v>0</v>
      </c>
      <c r="L13" s="36">
        <f>'Stavební rozpočet'!K119</f>
        <v>0</v>
      </c>
      <c r="M13" s="36" t="s">
        <v>91</v>
      </c>
      <c r="N13" s="36">
        <f t="shared" si="0"/>
        <v>0</v>
      </c>
      <c r="O13" s="14" t="s">
        <v>72</v>
      </c>
      <c r="P13" s="36">
        <f t="shared" si="1"/>
        <v>0</v>
      </c>
    </row>
    <row r="14" spans="1:16" ht="12.75">
      <c r="A14" s="14" t="s">
        <v>73</v>
      </c>
      <c r="B14" s="90" t="s">
        <v>81</v>
      </c>
      <c r="C14" s="80"/>
      <c r="D14" s="80"/>
      <c r="E14" s="80"/>
      <c r="F14" s="80"/>
      <c r="G14" s="80"/>
      <c r="H14" s="80"/>
      <c r="I14" s="80"/>
      <c r="J14" s="36">
        <f>'Stavební rozpočet'!I157</f>
        <v>0</v>
      </c>
      <c r="K14" s="36">
        <f>'Stavební rozpočet'!J157</f>
        <v>0</v>
      </c>
      <c r="L14" s="36">
        <f>'Stavební rozpočet'!K157</f>
        <v>0</v>
      </c>
      <c r="M14" s="36" t="s">
        <v>91</v>
      </c>
      <c r="N14" s="36">
        <f t="shared" si="0"/>
        <v>0</v>
      </c>
      <c r="O14" s="14" t="s">
        <v>73</v>
      </c>
      <c r="P14" s="36">
        <f t="shared" si="1"/>
        <v>0</v>
      </c>
    </row>
    <row r="15" spans="1:16" ht="12.75">
      <c r="A15" s="14" t="s">
        <v>74</v>
      </c>
      <c r="B15" s="90" t="s">
        <v>82</v>
      </c>
      <c r="C15" s="80"/>
      <c r="D15" s="80"/>
      <c r="E15" s="80"/>
      <c r="F15" s="80"/>
      <c r="G15" s="80"/>
      <c r="H15" s="80"/>
      <c r="I15" s="80"/>
      <c r="J15" s="36">
        <f>'Stavební rozpočet'!I179</f>
        <v>0</v>
      </c>
      <c r="K15" s="36">
        <f>'Stavební rozpočet'!J179</f>
        <v>0</v>
      </c>
      <c r="L15" s="36">
        <f>'Stavební rozpočet'!K179</f>
        <v>0</v>
      </c>
      <c r="M15" s="36" t="s">
        <v>91</v>
      </c>
      <c r="N15" s="36">
        <f t="shared" si="0"/>
        <v>0</v>
      </c>
      <c r="O15" s="14" t="s">
        <v>74</v>
      </c>
      <c r="P15" s="36">
        <f t="shared" si="1"/>
        <v>0</v>
      </c>
    </row>
    <row r="16" spans="1:16" ht="12.75">
      <c r="A16" s="14" t="s">
        <v>75</v>
      </c>
      <c r="B16" s="90" t="s">
        <v>83</v>
      </c>
      <c r="C16" s="80"/>
      <c r="D16" s="80"/>
      <c r="E16" s="80"/>
      <c r="F16" s="80"/>
      <c r="G16" s="80"/>
      <c r="H16" s="80"/>
      <c r="I16" s="80"/>
      <c r="J16" s="36">
        <f>'Stavební rozpočet'!I204</f>
        <v>0</v>
      </c>
      <c r="K16" s="36">
        <f>'Stavební rozpočet'!J204</f>
        <v>0</v>
      </c>
      <c r="L16" s="36">
        <f>'Stavební rozpočet'!K204</f>
        <v>0</v>
      </c>
      <c r="M16" s="36" t="s">
        <v>91</v>
      </c>
      <c r="N16" s="36">
        <f t="shared" si="0"/>
        <v>0</v>
      </c>
      <c r="O16" s="14" t="s">
        <v>75</v>
      </c>
      <c r="P16" s="36">
        <f t="shared" si="1"/>
        <v>0</v>
      </c>
    </row>
    <row r="17" spans="1:16" ht="12.75">
      <c r="A17" s="31" t="s">
        <v>76</v>
      </c>
      <c r="B17" s="139" t="s">
        <v>84</v>
      </c>
      <c r="C17" s="92"/>
      <c r="D17" s="92"/>
      <c r="E17" s="92"/>
      <c r="F17" s="92"/>
      <c r="G17" s="92"/>
      <c r="H17" s="92"/>
      <c r="I17" s="92"/>
      <c r="J17" s="38">
        <f>'Stavební rozpočet'!I207</f>
        <v>0</v>
      </c>
      <c r="K17" s="38">
        <f>'Stavební rozpočet'!J207</f>
        <v>0</v>
      </c>
      <c r="L17" s="38">
        <f>'Stavební rozpočet'!K207</f>
        <v>0</v>
      </c>
      <c r="M17" s="36" t="s">
        <v>91</v>
      </c>
      <c r="N17" s="36">
        <f t="shared" si="0"/>
        <v>0</v>
      </c>
      <c r="O17" s="14" t="s">
        <v>76</v>
      </c>
      <c r="P17" s="36">
        <f t="shared" si="1"/>
        <v>0</v>
      </c>
    </row>
    <row r="18" spans="1:12" ht="12.75">
      <c r="A18" s="5"/>
      <c r="B18" s="5"/>
      <c r="C18" s="5"/>
      <c r="D18" s="5"/>
      <c r="E18" s="5"/>
      <c r="F18" s="5"/>
      <c r="G18" s="5"/>
      <c r="H18" s="5"/>
      <c r="I18" s="5"/>
      <c r="J18" s="140" t="s">
        <v>89</v>
      </c>
      <c r="K18" s="82"/>
      <c r="L18" s="39">
        <f>SUM(P12:P17)</f>
        <v>0</v>
      </c>
    </row>
    <row r="19" ht="11.25" customHeight="1">
      <c r="A19" s="32" t="s">
        <v>18</v>
      </c>
    </row>
    <row r="20" spans="1:11" ht="25.5" customHeight="1">
      <c r="A20" s="88" t="s">
        <v>77</v>
      </c>
      <c r="B20" s="80"/>
      <c r="C20" s="80"/>
      <c r="D20" s="80"/>
      <c r="E20" s="80"/>
      <c r="F20" s="80"/>
      <c r="G20" s="80"/>
      <c r="H20" s="80"/>
      <c r="I20" s="80"/>
      <c r="J20" s="80"/>
      <c r="K20" s="80"/>
    </row>
  </sheetData>
  <sheetProtection/>
  <mergeCells count="36">
    <mergeCell ref="B15:I15"/>
    <mergeCell ref="B16:I16"/>
    <mergeCell ref="B17:I17"/>
    <mergeCell ref="J18:K18"/>
    <mergeCell ref="A20:K20"/>
    <mergeCell ref="B10:I10"/>
    <mergeCell ref="J10:L10"/>
    <mergeCell ref="B11:I11"/>
    <mergeCell ref="B12:I12"/>
    <mergeCell ref="B13:I13"/>
    <mergeCell ref="B14:I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 horizontalCentered="1"/>
  <pageMargins left="0.3937007874015748" right="0.3937007874015748" top="0.5905511811023623" bottom="0.5905511811023623" header="0.5118110236220472" footer="0.5118110236220472"/>
  <pageSetup fitToHeight="0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L1"/>
    </sheetView>
  </sheetViews>
  <sheetFormatPr defaultColWidth="11.57421875" defaultRowHeight="12.75"/>
  <cols>
    <col min="1" max="1" width="6.8515625" style="0" customWidth="1"/>
    <col min="2" max="2" width="4.57421875" style="0" customWidth="1"/>
    <col min="3" max="3" width="13.28125" style="0" customWidth="1"/>
    <col min="4" max="4" width="34.140625" style="0" customWidth="1"/>
    <col min="5" max="5" width="4.28125" style="0" customWidth="1"/>
    <col min="6" max="6" width="10.8515625" style="0" customWidth="1"/>
    <col min="7" max="7" width="12.00390625" style="0" customWidth="1"/>
    <col min="8" max="8" width="14.28125" style="0" customWidth="1"/>
    <col min="9" max="9" width="11.57421875" style="0" customWidth="1"/>
    <col min="10" max="12" width="14.28125" style="0" customWidth="1"/>
    <col min="13" max="16" width="12.140625" style="0" hidden="1" customWidth="1"/>
  </cols>
  <sheetData>
    <row r="1" spans="1:12" ht="72.75" customHeight="1">
      <c r="A1" s="134" t="s">
        <v>92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</row>
    <row r="2" spans="1:13" ht="12.75">
      <c r="A2" s="77" t="s">
        <v>0</v>
      </c>
      <c r="B2" s="78"/>
      <c r="C2" s="78"/>
      <c r="D2" s="81" t="str">
        <f>'Stavební rozpočet'!C2</f>
        <v>Sociální zařízení  mateřské školy na Hlubčické č.p. 89</v>
      </c>
      <c r="E2" s="84" t="s">
        <v>85</v>
      </c>
      <c r="F2" s="78"/>
      <c r="G2" s="84" t="str">
        <f>'Stavební rozpočet'!F2</f>
        <v> </v>
      </c>
      <c r="H2" s="78"/>
      <c r="I2" s="84" t="s">
        <v>32</v>
      </c>
      <c r="J2" s="84" t="str">
        <f>'Stavební rozpočet'!I2</f>
        <v>Město Krnov</v>
      </c>
      <c r="K2" s="78"/>
      <c r="L2" s="135"/>
      <c r="M2" s="15"/>
    </row>
    <row r="3" spans="1:13" ht="12.75">
      <c r="A3" s="79"/>
      <c r="B3" s="80"/>
      <c r="C3" s="80"/>
      <c r="D3" s="83"/>
      <c r="E3" s="80"/>
      <c r="F3" s="80"/>
      <c r="G3" s="80"/>
      <c r="H3" s="80"/>
      <c r="I3" s="80"/>
      <c r="J3" s="80"/>
      <c r="K3" s="80"/>
      <c r="L3" s="86"/>
      <c r="M3" s="15"/>
    </row>
    <row r="4" spans="1:13" ht="12.75">
      <c r="A4" s="87" t="s">
        <v>1</v>
      </c>
      <c r="B4" s="80"/>
      <c r="C4" s="80"/>
      <c r="D4" s="88" t="str">
        <f>'Stavební rozpočet'!C4</f>
        <v>stavební úpravy s modernizací</v>
      </c>
      <c r="E4" s="88" t="s">
        <v>3</v>
      </c>
      <c r="F4" s="80"/>
      <c r="G4" s="88" t="str">
        <f>'Stavební rozpočet'!F4</f>
        <v> </v>
      </c>
      <c r="H4" s="80"/>
      <c r="I4" s="88" t="s">
        <v>33</v>
      </c>
      <c r="J4" s="88" t="str">
        <f>'Stavební rozpočet'!I4</f>
        <v>JANKO Projekt s.r.o.  Krnov</v>
      </c>
      <c r="K4" s="80"/>
      <c r="L4" s="86"/>
      <c r="M4" s="15"/>
    </row>
    <row r="5" spans="1:13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86"/>
      <c r="M5" s="15"/>
    </row>
    <row r="6" spans="1:13" ht="12.75">
      <c r="A6" s="87" t="s">
        <v>2</v>
      </c>
      <c r="B6" s="80"/>
      <c r="C6" s="80"/>
      <c r="D6" s="88" t="str">
        <f>'Stavební rozpočet'!C6</f>
        <v>Krnov</v>
      </c>
      <c r="E6" s="88" t="s">
        <v>35</v>
      </c>
      <c r="F6" s="80"/>
      <c r="G6" s="88" t="str">
        <f>'Stavební rozpočet'!F6</f>
        <v> </v>
      </c>
      <c r="H6" s="80"/>
      <c r="I6" s="88" t="s">
        <v>34</v>
      </c>
      <c r="J6" s="88" t="str">
        <f>'Stavební rozpočet'!I6</f>
        <v> </v>
      </c>
      <c r="K6" s="80"/>
      <c r="L6" s="86"/>
      <c r="M6" s="15"/>
    </row>
    <row r="7" spans="1:13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86"/>
      <c r="M7" s="15"/>
    </row>
    <row r="8" spans="1:13" ht="12.75">
      <c r="A8" s="87" t="s">
        <v>4</v>
      </c>
      <c r="B8" s="80"/>
      <c r="C8" s="80"/>
      <c r="D8" s="88">
        <f>'Stavební rozpočet'!C8</f>
        <v>80131</v>
      </c>
      <c r="E8" s="88" t="s">
        <v>86</v>
      </c>
      <c r="F8" s="80"/>
      <c r="G8" s="88" t="str">
        <f>'Stavební rozpočet'!F8</f>
        <v>30.04.2019</v>
      </c>
      <c r="H8" s="80"/>
      <c r="I8" s="88" t="s">
        <v>36</v>
      </c>
      <c r="J8" s="88" t="str">
        <f>'Stavební rozpočet'!I8</f>
        <v>Boris Mičánek</v>
      </c>
      <c r="K8" s="80"/>
      <c r="L8" s="86"/>
      <c r="M8" s="15"/>
    </row>
    <row r="9" spans="1:13" ht="12.75">
      <c r="A9" s="13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7"/>
      <c r="M9" s="15"/>
    </row>
    <row r="10" spans="1:13" ht="12.75">
      <c r="A10" s="28" t="s">
        <v>69</v>
      </c>
      <c r="B10" s="28" t="s">
        <v>69</v>
      </c>
      <c r="C10" s="141" t="s">
        <v>69</v>
      </c>
      <c r="D10" s="142"/>
      <c r="E10" s="142"/>
      <c r="F10" s="142"/>
      <c r="G10" s="142"/>
      <c r="H10" s="142"/>
      <c r="I10" s="143"/>
      <c r="J10" s="144" t="s">
        <v>87</v>
      </c>
      <c r="K10" s="145"/>
      <c r="L10" s="146"/>
      <c r="M10" s="16"/>
    </row>
    <row r="11" spans="1:13" ht="12.75">
      <c r="A11" s="29" t="s">
        <v>70</v>
      </c>
      <c r="B11" s="29" t="s">
        <v>93</v>
      </c>
      <c r="C11" s="147" t="s">
        <v>78</v>
      </c>
      <c r="D11" s="148"/>
      <c r="E11" s="148"/>
      <c r="F11" s="148"/>
      <c r="G11" s="148"/>
      <c r="H11" s="148"/>
      <c r="I11" s="149"/>
      <c r="J11" s="33" t="s">
        <v>88</v>
      </c>
      <c r="K11" s="34" t="s">
        <v>22</v>
      </c>
      <c r="L11" s="35" t="s">
        <v>90</v>
      </c>
      <c r="M11" s="16"/>
    </row>
    <row r="12" spans="1:16" ht="12.75">
      <c r="A12" s="30" t="s">
        <v>71</v>
      </c>
      <c r="B12" s="30"/>
      <c r="C12" s="150" t="s">
        <v>79</v>
      </c>
      <c r="D12" s="142"/>
      <c r="E12" s="142"/>
      <c r="F12" s="142"/>
      <c r="G12" s="142"/>
      <c r="H12" s="142"/>
      <c r="I12" s="142"/>
      <c r="J12" s="37">
        <f>'Stavební rozpočet'!I12</f>
        <v>0</v>
      </c>
      <c r="K12" s="37">
        <f>'Stavební rozpočet'!J12</f>
        <v>0</v>
      </c>
      <c r="L12" s="37">
        <f>'Stavební rozpočet'!K12</f>
        <v>0</v>
      </c>
      <c r="M12" s="36" t="s">
        <v>91</v>
      </c>
      <c r="N12" s="36">
        <f aca="true" t="shared" si="0" ref="N12:N33">IF(M12="F",0,L12)</f>
        <v>0</v>
      </c>
      <c r="O12" s="14" t="s">
        <v>71</v>
      </c>
      <c r="P12" s="36">
        <f aca="true" t="shared" si="1" ref="P12:P33">IF(M12="T",0,L12)</f>
        <v>0</v>
      </c>
    </row>
    <row r="13" spans="1:16" ht="12.75">
      <c r="A13" s="14" t="s">
        <v>71</v>
      </c>
      <c r="B13" s="14" t="s">
        <v>94</v>
      </c>
      <c r="C13" s="90" t="s">
        <v>104</v>
      </c>
      <c r="D13" s="80"/>
      <c r="E13" s="80"/>
      <c r="F13" s="80"/>
      <c r="G13" s="80"/>
      <c r="H13" s="80"/>
      <c r="I13" s="80"/>
      <c r="J13" s="36">
        <f>SUMIF('Stavební rozpočet'!AY13:AY211,"SO1 HSV_3_",'Stavební rozpočet'!AV13:AV211)</f>
        <v>0</v>
      </c>
      <c r="K13" s="36">
        <f>SUMIF('Stavební rozpočet'!AY13:AY211,"SO1 HSV_3_",'Stavební rozpočet'!AW13:AW211)</f>
        <v>0</v>
      </c>
      <c r="L13" s="36">
        <f>SUMIF('Stavební rozpočet'!AY13:AY211,"SO1 HSV_3_",'Stavební rozpočet'!AU13:AU211)</f>
        <v>0</v>
      </c>
      <c r="M13" s="36" t="s">
        <v>114</v>
      </c>
      <c r="N13" s="36">
        <f t="shared" si="0"/>
        <v>0</v>
      </c>
      <c r="O13" s="14" t="s">
        <v>71</v>
      </c>
      <c r="P13" s="36">
        <f t="shared" si="1"/>
        <v>0</v>
      </c>
    </row>
    <row r="14" spans="1:16" ht="12.75">
      <c r="A14" s="14" t="s">
        <v>71</v>
      </c>
      <c r="B14" s="14" t="s">
        <v>95</v>
      </c>
      <c r="C14" s="90" t="s">
        <v>105</v>
      </c>
      <c r="D14" s="80"/>
      <c r="E14" s="80"/>
      <c r="F14" s="80"/>
      <c r="G14" s="80"/>
      <c r="H14" s="80"/>
      <c r="I14" s="80"/>
      <c r="J14" s="36">
        <f>SUMIF('Stavební rozpočet'!AY13:AY211,"SO1 HSV_6_",'Stavební rozpočet'!AV13:AV211)</f>
        <v>0</v>
      </c>
      <c r="K14" s="36">
        <f>SUMIF('Stavební rozpočet'!AY13:AY211,"SO1 HSV_6_",'Stavební rozpočet'!AW13:AW211)</f>
        <v>0</v>
      </c>
      <c r="L14" s="36">
        <f>SUMIF('Stavební rozpočet'!AY13:AY211,"SO1 HSV_6_",'Stavební rozpočet'!AU13:AU211)</f>
        <v>0</v>
      </c>
      <c r="M14" s="36" t="s">
        <v>114</v>
      </c>
      <c r="N14" s="36">
        <f t="shared" si="0"/>
        <v>0</v>
      </c>
      <c r="O14" s="14" t="s">
        <v>71</v>
      </c>
      <c r="P14" s="36">
        <f t="shared" si="1"/>
        <v>0</v>
      </c>
    </row>
    <row r="15" spans="1:16" ht="12.75">
      <c r="A15" s="14" t="s">
        <v>71</v>
      </c>
      <c r="B15" s="14" t="s">
        <v>96</v>
      </c>
      <c r="C15" s="90" t="s">
        <v>106</v>
      </c>
      <c r="D15" s="80"/>
      <c r="E15" s="80"/>
      <c r="F15" s="80"/>
      <c r="G15" s="80"/>
      <c r="H15" s="80"/>
      <c r="I15" s="80"/>
      <c r="J15" s="36">
        <f>SUMIF('Stavební rozpočet'!AY13:AY211,"SO1 HSV_71_",'Stavební rozpočet'!AV13:AV211)</f>
        <v>0</v>
      </c>
      <c r="K15" s="36">
        <f>SUMIF('Stavební rozpočet'!AY13:AY211,"SO1 HSV_71_",'Stavební rozpočet'!AW13:AW211)</f>
        <v>0</v>
      </c>
      <c r="L15" s="36">
        <f>SUMIF('Stavební rozpočet'!AY13:AY211,"SO1 HSV_71_",'Stavební rozpočet'!AU13:AU211)</f>
        <v>0</v>
      </c>
      <c r="M15" s="36" t="s">
        <v>114</v>
      </c>
      <c r="N15" s="36">
        <f t="shared" si="0"/>
        <v>0</v>
      </c>
      <c r="O15" s="14" t="s">
        <v>71</v>
      </c>
      <c r="P15" s="36">
        <f t="shared" si="1"/>
        <v>0</v>
      </c>
    </row>
    <row r="16" spans="1:16" ht="12.75">
      <c r="A16" s="14" t="s">
        <v>71</v>
      </c>
      <c r="B16" s="14" t="s">
        <v>97</v>
      </c>
      <c r="C16" s="90" t="s">
        <v>107</v>
      </c>
      <c r="D16" s="80"/>
      <c r="E16" s="80"/>
      <c r="F16" s="80"/>
      <c r="G16" s="80"/>
      <c r="H16" s="80"/>
      <c r="I16" s="80"/>
      <c r="J16" s="36">
        <f>SUMIF('Stavební rozpočet'!AY13:AY211,"SO1 HSV_76_",'Stavební rozpočet'!AV13:AV211)</f>
        <v>0</v>
      </c>
      <c r="K16" s="36">
        <f>SUMIF('Stavební rozpočet'!AY13:AY211,"SO1 HSV_76_",'Stavební rozpočet'!AW13:AW211)</f>
        <v>0</v>
      </c>
      <c r="L16" s="36">
        <f>SUMIF('Stavební rozpočet'!AY13:AY211,"SO1 HSV_76_",'Stavební rozpočet'!AU13:AU211)</f>
        <v>0</v>
      </c>
      <c r="M16" s="36" t="s">
        <v>114</v>
      </c>
      <c r="N16" s="36">
        <f t="shared" si="0"/>
        <v>0</v>
      </c>
      <c r="O16" s="14" t="s">
        <v>71</v>
      </c>
      <c r="P16" s="36">
        <f t="shared" si="1"/>
        <v>0</v>
      </c>
    </row>
    <row r="17" spans="1:16" ht="12.75">
      <c r="A17" s="14" t="s">
        <v>71</v>
      </c>
      <c r="B17" s="14" t="s">
        <v>98</v>
      </c>
      <c r="C17" s="90" t="s">
        <v>108</v>
      </c>
      <c r="D17" s="80"/>
      <c r="E17" s="80"/>
      <c r="F17" s="80"/>
      <c r="G17" s="80"/>
      <c r="H17" s="80"/>
      <c r="I17" s="80"/>
      <c r="J17" s="36">
        <f>SUMIF('Stavební rozpočet'!AY13:AY211,"SO1 HSV_77_",'Stavební rozpočet'!AV13:AV211)</f>
        <v>0</v>
      </c>
      <c r="K17" s="36">
        <f>SUMIF('Stavební rozpočet'!AY13:AY211,"SO1 HSV_77_",'Stavební rozpočet'!AW13:AW211)</f>
        <v>0</v>
      </c>
      <c r="L17" s="36">
        <f>SUMIF('Stavební rozpočet'!AY13:AY211,"SO1 HSV_77_",'Stavební rozpočet'!AU13:AU211)</f>
        <v>0</v>
      </c>
      <c r="M17" s="36" t="s">
        <v>114</v>
      </c>
      <c r="N17" s="36">
        <f t="shared" si="0"/>
        <v>0</v>
      </c>
      <c r="O17" s="14" t="s">
        <v>71</v>
      </c>
      <c r="P17" s="36">
        <f t="shared" si="1"/>
        <v>0</v>
      </c>
    </row>
    <row r="18" spans="1:16" ht="12.75">
      <c r="A18" s="14" t="s">
        <v>71</v>
      </c>
      <c r="B18" s="14" t="s">
        <v>99</v>
      </c>
      <c r="C18" s="90" t="s">
        <v>109</v>
      </c>
      <c r="D18" s="80"/>
      <c r="E18" s="80"/>
      <c r="F18" s="80"/>
      <c r="G18" s="80"/>
      <c r="H18" s="80"/>
      <c r="I18" s="80"/>
      <c r="J18" s="36">
        <f>SUMIF('Stavební rozpočet'!AY13:AY211,"SO1 HSV_78_",'Stavební rozpočet'!AV13:AV211)</f>
        <v>0</v>
      </c>
      <c r="K18" s="36">
        <f>SUMIF('Stavební rozpočet'!AY13:AY211,"SO1 HSV_78_",'Stavební rozpočet'!AW13:AW211)</f>
        <v>0</v>
      </c>
      <c r="L18" s="36">
        <f>SUMIF('Stavební rozpočet'!AY13:AY211,"SO1 HSV_78_",'Stavební rozpočet'!AU13:AU211)</f>
        <v>0</v>
      </c>
      <c r="M18" s="36" t="s">
        <v>114</v>
      </c>
      <c r="N18" s="36">
        <f t="shared" si="0"/>
        <v>0</v>
      </c>
      <c r="O18" s="14" t="s">
        <v>71</v>
      </c>
      <c r="P18" s="36">
        <f t="shared" si="1"/>
        <v>0</v>
      </c>
    </row>
    <row r="19" spans="1:16" ht="12.75">
      <c r="A19" s="14" t="s">
        <v>71</v>
      </c>
      <c r="B19" s="14" t="s">
        <v>100</v>
      </c>
      <c r="C19" s="90" t="s">
        <v>110</v>
      </c>
      <c r="D19" s="80"/>
      <c r="E19" s="80"/>
      <c r="F19" s="80"/>
      <c r="G19" s="80"/>
      <c r="H19" s="80"/>
      <c r="I19" s="80"/>
      <c r="J19" s="36">
        <f>SUMIF('Stavební rozpočet'!AY13:AY211,"SO1 HSV_9_",'Stavební rozpočet'!AV13:AV211)</f>
        <v>0</v>
      </c>
      <c r="K19" s="36">
        <f>SUMIF('Stavební rozpočet'!AY13:AY211,"SO1 HSV_9_",'Stavební rozpočet'!AW13:AW211)</f>
        <v>0</v>
      </c>
      <c r="L19" s="36">
        <f>SUMIF('Stavební rozpočet'!AY13:AY211,"SO1 HSV_9_",'Stavební rozpočet'!AU13:AU211)</f>
        <v>0</v>
      </c>
      <c r="M19" s="36" t="s">
        <v>114</v>
      </c>
      <c r="N19" s="36">
        <f t="shared" si="0"/>
        <v>0</v>
      </c>
      <c r="O19" s="14" t="s">
        <v>71</v>
      </c>
      <c r="P19" s="36">
        <f t="shared" si="1"/>
        <v>0</v>
      </c>
    </row>
    <row r="20" spans="1:16" ht="12.75">
      <c r="A20" s="14" t="s">
        <v>71</v>
      </c>
      <c r="B20" s="14"/>
      <c r="C20" s="90" t="s">
        <v>10</v>
      </c>
      <c r="D20" s="80"/>
      <c r="E20" s="80"/>
      <c r="F20" s="80"/>
      <c r="G20" s="80"/>
      <c r="H20" s="80"/>
      <c r="I20" s="80"/>
      <c r="J20" s="36">
        <f>SUMIF('Stavební rozpočet'!AY13:AY211,"SO1 HSV_Z_",'Stavební rozpočet'!AV13:AV211)</f>
        <v>0</v>
      </c>
      <c r="K20" s="36">
        <f>SUMIF('Stavební rozpočet'!AY13:AY211,"SO1 HSV_Z_",'Stavební rozpočet'!AW13:AW211)</f>
        <v>0</v>
      </c>
      <c r="L20" s="36">
        <f>SUMIF('Stavební rozpočet'!AY13:AY211,"SO1 HSV_Z_",'Stavební rozpočet'!AU13:AU211)</f>
        <v>0</v>
      </c>
      <c r="M20" s="36" t="s">
        <v>114</v>
      </c>
      <c r="N20" s="36">
        <f t="shared" si="0"/>
        <v>0</v>
      </c>
      <c r="O20" s="14" t="s">
        <v>71</v>
      </c>
      <c r="P20" s="36">
        <f t="shared" si="1"/>
        <v>0</v>
      </c>
    </row>
    <row r="21" spans="1:16" ht="12.75">
      <c r="A21" s="14" t="s">
        <v>72</v>
      </c>
      <c r="B21" s="14"/>
      <c r="C21" s="90" t="s">
        <v>80</v>
      </c>
      <c r="D21" s="80"/>
      <c r="E21" s="80"/>
      <c r="F21" s="80"/>
      <c r="G21" s="80"/>
      <c r="H21" s="80"/>
      <c r="I21" s="80"/>
      <c r="J21" s="36">
        <f>'Stavební rozpočet'!I119</f>
        <v>0</v>
      </c>
      <c r="K21" s="36">
        <f>'Stavební rozpočet'!J119</f>
        <v>0</v>
      </c>
      <c r="L21" s="36">
        <f>'Stavební rozpočet'!K119</f>
        <v>0</v>
      </c>
      <c r="M21" s="36" t="s">
        <v>91</v>
      </c>
      <c r="N21" s="36">
        <f t="shared" si="0"/>
        <v>0</v>
      </c>
      <c r="O21" s="14" t="s">
        <v>72</v>
      </c>
      <c r="P21" s="36">
        <f t="shared" si="1"/>
        <v>0</v>
      </c>
    </row>
    <row r="22" spans="1:16" ht="12.75">
      <c r="A22" s="14" t="s">
        <v>72</v>
      </c>
      <c r="B22" s="14" t="s">
        <v>101</v>
      </c>
      <c r="C22" s="90" t="s">
        <v>111</v>
      </c>
      <c r="D22" s="80"/>
      <c r="E22" s="80"/>
      <c r="F22" s="80"/>
      <c r="G22" s="80"/>
      <c r="H22" s="80"/>
      <c r="I22" s="80"/>
      <c r="J22" s="36">
        <f>SUMIF('Stavební rozpočet'!AY13:AY211,"SO2 PSV_72_",'Stavební rozpočet'!AV13:AV211)</f>
        <v>0</v>
      </c>
      <c r="K22" s="36">
        <f>SUMIF('Stavební rozpočet'!AY13:AY211,"SO2 PSV_72_",'Stavební rozpočet'!AW13:AW211)</f>
        <v>0</v>
      </c>
      <c r="L22" s="36">
        <f>SUMIF('Stavební rozpočet'!AY13:AY211,"SO2 PSV_72_",'Stavební rozpočet'!AU13:AU211)</f>
        <v>0</v>
      </c>
      <c r="M22" s="36" t="s">
        <v>114</v>
      </c>
      <c r="N22" s="36">
        <f t="shared" si="0"/>
        <v>0</v>
      </c>
      <c r="O22" s="14" t="s">
        <v>72</v>
      </c>
      <c r="P22" s="36">
        <f t="shared" si="1"/>
        <v>0</v>
      </c>
    </row>
    <row r="23" spans="1:16" ht="12.75">
      <c r="A23" s="14" t="s">
        <v>72</v>
      </c>
      <c r="B23" s="14" t="s">
        <v>100</v>
      </c>
      <c r="C23" s="90" t="s">
        <v>110</v>
      </c>
      <c r="D23" s="80"/>
      <c r="E23" s="80"/>
      <c r="F23" s="80"/>
      <c r="G23" s="80"/>
      <c r="H23" s="80"/>
      <c r="I23" s="80"/>
      <c r="J23" s="36">
        <f>SUMIF('Stavební rozpočet'!AY13:AY211,"SO2 PSV_9_",'Stavební rozpočet'!AV13:AV211)</f>
        <v>0</v>
      </c>
      <c r="K23" s="36">
        <f>SUMIF('Stavební rozpočet'!AY13:AY211,"SO2 PSV_9_",'Stavební rozpočet'!AW13:AW211)</f>
        <v>0</v>
      </c>
      <c r="L23" s="36">
        <f>SUMIF('Stavební rozpočet'!AY13:AY211,"SO2 PSV_9_",'Stavební rozpočet'!AU13:AU211)</f>
        <v>0</v>
      </c>
      <c r="M23" s="36" t="s">
        <v>114</v>
      </c>
      <c r="N23" s="36">
        <f t="shared" si="0"/>
        <v>0</v>
      </c>
      <c r="O23" s="14" t="s">
        <v>72</v>
      </c>
      <c r="P23" s="36">
        <f t="shared" si="1"/>
        <v>0</v>
      </c>
    </row>
    <row r="24" spans="1:16" ht="12.75">
      <c r="A24" s="14" t="s">
        <v>73</v>
      </c>
      <c r="B24" s="14"/>
      <c r="C24" s="90" t="s">
        <v>81</v>
      </c>
      <c r="D24" s="80"/>
      <c r="E24" s="80"/>
      <c r="F24" s="80"/>
      <c r="G24" s="80"/>
      <c r="H24" s="80"/>
      <c r="I24" s="80"/>
      <c r="J24" s="36">
        <f>'Stavební rozpočet'!I157</f>
        <v>0</v>
      </c>
      <c r="K24" s="36">
        <f>'Stavební rozpočet'!J157</f>
        <v>0</v>
      </c>
      <c r="L24" s="36">
        <f>'Stavební rozpočet'!K157</f>
        <v>0</v>
      </c>
      <c r="M24" s="36" t="s">
        <v>91</v>
      </c>
      <c r="N24" s="36">
        <f t="shared" si="0"/>
        <v>0</v>
      </c>
      <c r="O24" s="14" t="s">
        <v>73</v>
      </c>
      <c r="P24" s="36">
        <f t="shared" si="1"/>
        <v>0</v>
      </c>
    </row>
    <row r="25" spans="1:16" ht="12.75">
      <c r="A25" s="14" t="s">
        <v>73</v>
      </c>
      <c r="B25" s="14" t="s">
        <v>101</v>
      </c>
      <c r="C25" s="90" t="s">
        <v>111</v>
      </c>
      <c r="D25" s="80"/>
      <c r="E25" s="80"/>
      <c r="F25" s="80"/>
      <c r="G25" s="80"/>
      <c r="H25" s="80"/>
      <c r="I25" s="80"/>
      <c r="J25" s="36">
        <f>SUMIF('Stavební rozpočet'!AY13:AY211,"SO3 PSV_72_",'Stavební rozpočet'!AV13:AV211)</f>
        <v>0</v>
      </c>
      <c r="K25" s="36">
        <f>SUMIF('Stavební rozpočet'!AY13:AY211,"SO3 PSV_72_",'Stavební rozpočet'!AW13:AW211)</f>
        <v>0</v>
      </c>
      <c r="L25" s="36">
        <f>SUMIF('Stavební rozpočet'!AY13:AY211,"SO3 PSV_72_",'Stavební rozpočet'!AU13:AU211)</f>
        <v>0</v>
      </c>
      <c r="M25" s="36" t="s">
        <v>114</v>
      </c>
      <c r="N25" s="36">
        <f t="shared" si="0"/>
        <v>0</v>
      </c>
      <c r="O25" s="14" t="s">
        <v>73</v>
      </c>
      <c r="P25" s="36">
        <f t="shared" si="1"/>
        <v>0</v>
      </c>
    </row>
    <row r="26" spans="1:16" ht="12.75">
      <c r="A26" s="14" t="s">
        <v>73</v>
      </c>
      <c r="B26" s="14" t="s">
        <v>102</v>
      </c>
      <c r="C26" s="90" t="s">
        <v>112</v>
      </c>
      <c r="D26" s="80"/>
      <c r="E26" s="80"/>
      <c r="F26" s="80"/>
      <c r="G26" s="80"/>
      <c r="H26" s="80"/>
      <c r="I26" s="80"/>
      <c r="J26" s="36">
        <f>SUMIF('Stavební rozpočet'!AY13:AY211,"SO3 PSV_8_",'Stavební rozpočet'!AV13:AV211)</f>
        <v>0</v>
      </c>
      <c r="K26" s="36">
        <f>SUMIF('Stavební rozpočet'!AY13:AY211,"SO3 PSV_8_",'Stavební rozpočet'!AW13:AW211)</f>
        <v>0</v>
      </c>
      <c r="L26" s="36">
        <f>SUMIF('Stavební rozpočet'!AY13:AY211,"SO3 PSV_8_",'Stavební rozpočet'!AU13:AU211)</f>
        <v>0</v>
      </c>
      <c r="M26" s="36" t="s">
        <v>114</v>
      </c>
      <c r="N26" s="36">
        <f t="shared" si="0"/>
        <v>0</v>
      </c>
      <c r="O26" s="14" t="s">
        <v>73</v>
      </c>
      <c r="P26" s="36">
        <f t="shared" si="1"/>
        <v>0</v>
      </c>
    </row>
    <row r="27" spans="1:16" ht="12.75">
      <c r="A27" s="14" t="s">
        <v>73</v>
      </c>
      <c r="B27" s="14" t="s">
        <v>100</v>
      </c>
      <c r="C27" s="90" t="s">
        <v>110</v>
      </c>
      <c r="D27" s="80"/>
      <c r="E27" s="80"/>
      <c r="F27" s="80"/>
      <c r="G27" s="80"/>
      <c r="H27" s="80"/>
      <c r="I27" s="80"/>
      <c r="J27" s="36">
        <f>SUMIF('Stavební rozpočet'!AY13:AY211,"SO3 PSV_9_",'Stavební rozpočet'!AV13:AV211)</f>
        <v>0</v>
      </c>
      <c r="K27" s="36">
        <f>SUMIF('Stavební rozpočet'!AY13:AY211,"SO3 PSV_9_",'Stavební rozpočet'!AW13:AW211)</f>
        <v>0</v>
      </c>
      <c r="L27" s="36">
        <f>SUMIF('Stavební rozpočet'!AY13:AY211,"SO3 PSV_9_",'Stavební rozpočet'!AU13:AU211)</f>
        <v>0</v>
      </c>
      <c r="M27" s="36" t="s">
        <v>114</v>
      </c>
      <c r="N27" s="36">
        <f t="shared" si="0"/>
        <v>0</v>
      </c>
      <c r="O27" s="14" t="s">
        <v>73</v>
      </c>
      <c r="P27" s="36">
        <f t="shared" si="1"/>
        <v>0</v>
      </c>
    </row>
    <row r="28" spans="1:16" ht="12.75">
      <c r="A28" s="14" t="s">
        <v>74</v>
      </c>
      <c r="B28" s="14"/>
      <c r="C28" s="90" t="s">
        <v>82</v>
      </c>
      <c r="D28" s="80"/>
      <c r="E28" s="80"/>
      <c r="F28" s="80"/>
      <c r="G28" s="80"/>
      <c r="H28" s="80"/>
      <c r="I28" s="80"/>
      <c r="J28" s="36">
        <f>'Stavební rozpočet'!I179</f>
        <v>0</v>
      </c>
      <c r="K28" s="36">
        <f>'Stavební rozpočet'!J179</f>
        <v>0</v>
      </c>
      <c r="L28" s="36">
        <f>'Stavební rozpočet'!K179</f>
        <v>0</v>
      </c>
      <c r="M28" s="36" t="s">
        <v>91</v>
      </c>
      <c r="N28" s="36">
        <f t="shared" si="0"/>
        <v>0</v>
      </c>
      <c r="O28" s="14" t="s">
        <v>74</v>
      </c>
      <c r="P28" s="36">
        <f t="shared" si="1"/>
        <v>0</v>
      </c>
    </row>
    <row r="29" spans="1:16" ht="12.75">
      <c r="A29" s="14" t="s">
        <v>74</v>
      </c>
      <c r="B29" s="14" t="s">
        <v>103</v>
      </c>
      <c r="C29" s="90" t="s">
        <v>113</v>
      </c>
      <c r="D29" s="80"/>
      <c r="E29" s="80"/>
      <c r="F29" s="80"/>
      <c r="G29" s="80"/>
      <c r="H29" s="80"/>
      <c r="I29" s="80"/>
      <c r="J29" s="36">
        <f>SUMIF('Stavební rozpočet'!AY13:AY211,"SO4 PSV_73_",'Stavební rozpočet'!AV13:AV211)</f>
        <v>0</v>
      </c>
      <c r="K29" s="36">
        <f>SUMIF('Stavební rozpočet'!AY13:AY211,"SO4 PSV_73_",'Stavební rozpočet'!AW13:AW211)</f>
        <v>0</v>
      </c>
      <c r="L29" s="36">
        <f>SUMIF('Stavební rozpočet'!AY13:AY211,"SO4 PSV_73_",'Stavební rozpočet'!AU13:AU211)</f>
        <v>0</v>
      </c>
      <c r="M29" s="36" t="s">
        <v>114</v>
      </c>
      <c r="N29" s="36">
        <f t="shared" si="0"/>
        <v>0</v>
      </c>
      <c r="O29" s="14" t="s">
        <v>74</v>
      </c>
      <c r="P29" s="36">
        <f t="shared" si="1"/>
        <v>0</v>
      </c>
    </row>
    <row r="30" spans="1:16" ht="12.75">
      <c r="A30" s="14" t="s">
        <v>75</v>
      </c>
      <c r="B30" s="14"/>
      <c r="C30" s="90" t="s">
        <v>83</v>
      </c>
      <c r="D30" s="80"/>
      <c r="E30" s="80"/>
      <c r="F30" s="80"/>
      <c r="G30" s="80"/>
      <c r="H30" s="80"/>
      <c r="I30" s="80"/>
      <c r="J30" s="36">
        <f>'Stavební rozpočet'!I204</f>
        <v>0</v>
      </c>
      <c r="K30" s="36">
        <f>'Stavební rozpočet'!J204</f>
        <v>0</v>
      </c>
      <c r="L30" s="36">
        <f>'Stavební rozpočet'!K204</f>
        <v>0</v>
      </c>
      <c r="M30" s="36" t="s">
        <v>91</v>
      </c>
      <c r="N30" s="36">
        <f t="shared" si="0"/>
        <v>0</v>
      </c>
      <c r="O30" s="14" t="s">
        <v>75</v>
      </c>
      <c r="P30" s="36">
        <f t="shared" si="1"/>
        <v>0</v>
      </c>
    </row>
    <row r="31" spans="1:16" ht="12.75">
      <c r="A31" s="14" t="s">
        <v>75</v>
      </c>
      <c r="B31" s="14" t="s">
        <v>100</v>
      </c>
      <c r="C31" s="90" t="s">
        <v>110</v>
      </c>
      <c r="D31" s="80"/>
      <c r="E31" s="80"/>
      <c r="F31" s="80"/>
      <c r="G31" s="80"/>
      <c r="H31" s="80"/>
      <c r="I31" s="80"/>
      <c r="J31" s="36">
        <f>SUMIF('Stavební rozpočet'!AY13:AY211,"SO5 M_9_",'Stavební rozpočet'!AV13:AV211)</f>
        <v>0</v>
      </c>
      <c r="K31" s="36">
        <f>SUMIF('Stavební rozpočet'!AY13:AY211,"SO5 M_9_",'Stavební rozpočet'!AW13:AW211)</f>
        <v>0</v>
      </c>
      <c r="L31" s="36">
        <f>SUMIF('Stavební rozpočet'!AY13:AY211,"SO5 M_9_",'Stavební rozpočet'!AU13:AU211)</f>
        <v>0</v>
      </c>
      <c r="M31" s="36" t="s">
        <v>114</v>
      </c>
      <c r="N31" s="36">
        <f t="shared" si="0"/>
        <v>0</v>
      </c>
      <c r="O31" s="14" t="s">
        <v>75</v>
      </c>
      <c r="P31" s="36">
        <f t="shared" si="1"/>
        <v>0</v>
      </c>
    </row>
    <row r="32" spans="1:16" ht="12.75">
      <c r="A32" s="14" t="s">
        <v>76</v>
      </c>
      <c r="B32" s="14"/>
      <c r="C32" s="90" t="s">
        <v>84</v>
      </c>
      <c r="D32" s="80"/>
      <c r="E32" s="80"/>
      <c r="F32" s="80"/>
      <c r="G32" s="80"/>
      <c r="H32" s="80"/>
      <c r="I32" s="80"/>
      <c r="J32" s="36">
        <f>'Stavební rozpočet'!I207</f>
        <v>0</v>
      </c>
      <c r="K32" s="36">
        <f>'Stavební rozpočet'!J207</f>
        <v>0</v>
      </c>
      <c r="L32" s="36">
        <f>'Stavební rozpočet'!K207</f>
        <v>0</v>
      </c>
      <c r="M32" s="36" t="s">
        <v>91</v>
      </c>
      <c r="N32" s="36">
        <f t="shared" si="0"/>
        <v>0</v>
      </c>
      <c r="O32" s="14" t="s">
        <v>76</v>
      </c>
      <c r="P32" s="36">
        <f t="shared" si="1"/>
        <v>0</v>
      </c>
    </row>
    <row r="33" spans="1:16" ht="12.75">
      <c r="A33" s="31" t="s">
        <v>76</v>
      </c>
      <c r="B33" s="31"/>
      <c r="C33" s="139" t="s">
        <v>10</v>
      </c>
      <c r="D33" s="92"/>
      <c r="E33" s="92"/>
      <c r="F33" s="92"/>
      <c r="G33" s="92"/>
      <c r="H33" s="92"/>
      <c r="I33" s="92"/>
      <c r="J33" s="38">
        <f>SUMIF('Stavební rozpočet'!AY13:AY211,"SO6_Z_",'Stavební rozpočet'!AV13:AV211)</f>
        <v>0</v>
      </c>
      <c r="K33" s="38">
        <f>SUMIF('Stavební rozpočet'!AY13:AY211,"SO6_Z_",'Stavební rozpočet'!AW13:AW211)</f>
        <v>0</v>
      </c>
      <c r="L33" s="38">
        <f>SUMIF('Stavební rozpočet'!AY13:AY211,"SO6_Z_",'Stavební rozpočet'!AU13:AU211)</f>
        <v>0</v>
      </c>
      <c r="M33" s="36" t="s">
        <v>114</v>
      </c>
      <c r="N33" s="36">
        <f t="shared" si="0"/>
        <v>0</v>
      </c>
      <c r="O33" s="14" t="s">
        <v>76</v>
      </c>
      <c r="P33" s="36">
        <f t="shared" si="1"/>
        <v>0</v>
      </c>
    </row>
    <row r="34" spans="1:12" ht="12.75">
      <c r="A34" s="5"/>
      <c r="B34" s="5"/>
      <c r="C34" s="5"/>
      <c r="D34" s="5"/>
      <c r="E34" s="5"/>
      <c r="F34" s="5"/>
      <c r="G34" s="5"/>
      <c r="H34" s="5"/>
      <c r="I34" s="5"/>
      <c r="J34" s="140" t="s">
        <v>89</v>
      </c>
      <c r="K34" s="82"/>
      <c r="L34" s="39">
        <f>SUM(N12:N33)</f>
        <v>0</v>
      </c>
    </row>
    <row r="35" ht="11.25" customHeight="1">
      <c r="A35" s="32" t="s">
        <v>18</v>
      </c>
    </row>
    <row r="36" spans="1:11" ht="25.5" customHeight="1">
      <c r="A36" s="88" t="s">
        <v>77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</row>
  </sheetData>
  <sheetProtection/>
  <mergeCells count="52">
    <mergeCell ref="C33:I33"/>
    <mergeCell ref="J34:K34"/>
    <mergeCell ref="A36:K36"/>
    <mergeCell ref="C27:I27"/>
    <mergeCell ref="C28:I28"/>
    <mergeCell ref="C29:I29"/>
    <mergeCell ref="C30:I30"/>
    <mergeCell ref="C31:I31"/>
    <mergeCell ref="C32:I32"/>
    <mergeCell ref="C21:I21"/>
    <mergeCell ref="C22:I22"/>
    <mergeCell ref="C23:I23"/>
    <mergeCell ref="C24:I24"/>
    <mergeCell ref="C25:I25"/>
    <mergeCell ref="C26:I26"/>
    <mergeCell ref="C15:I15"/>
    <mergeCell ref="C16:I16"/>
    <mergeCell ref="C17:I17"/>
    <mergeCell ref="C18:I18"/>
    <mergeCell ref="C19:I19"/>
    <mergeCell ref="C20:I20"/>
    <mergeCell ref="C10:I10"/>
    <mergeCell ref="J10:L10"/>
    <mergeCell ref="C11:I11"/>
    <mergeCell ref="C12:I12"/>
    <mergeCell ref="C13:I13"/>
    <mergeCell ref="C14:I14"/>
    <mergeCell ref="A8:C9"/>
    <mergeCell ref="D8:D9"/>
    <mergeCell ref="E8:F9"/>
    <mergeCell ref="G8:H9"/>
    <mergeCell ref="I8:I9"/>
    <mergeCell ref="J8:L9"/>
    <mergeCell ref="A6:C7"/>
    <mergeCell ref="D6:D7"/>
    <mergeCell ref="E6:F7"/>
    <mergeCell ref="G6:H7"/>
    <mergeCell ref="I6:I7"/>
    <mergeCell ref="J6:L7"/>
    <mergeCell ref="A4:C5"/>
    <mergeCell ref="D4:D5"/>
    <mergeCell ref="E4:F5"/>
    <mergeCell ref="G4:H5"/>
    <mergeCell ref="I4:I5"/>
    <mergeCell ref="J4:L5"/>
    <mergeCell ref="A1:L1"/>
    <mergeCell ref="A2:C3"/>
    <mergeCell ref="D2:D3"/>
    <mergeCell ref="E2:F3"/>
    <mergeCell ref="G2:H3"/>
    <mergeCell ref="I2:I3"/>
    <mergeCell ref="J2:L3"/>
  </mergeCells>
  <printOptions/>
  <pageMargins left="0.394" right="0.394" top="0.591" bottom="0.591" header="0.5" footer="0.5"/>
  <pageSetup fitToHeight="0" fitToWidth="1" horizontalDpi="600" verticalDpi="600" orientation="landscape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4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K1"/>
    </sheetView>
  </sheetViews>
  <sheetFormatPr defaultColWidth="11.57421875" defaultRowHeight="12.75"/>
  <cols>
    <col min="1" max="1" width="3.7109375" style="0" customWidth="1"/>
    <col min="2" max="2" width="14.28125" style="0" customWidth="1"/>
    <col min="3" max="3" width="57.7109375" style="0" customWidth="1"/>
    <col min="4" max="5" width="11.5742187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23" width="11.57421875" style="0" customWidth="1"/>
    <col min="24" max="61" width="12.140625" style="0" hidden="1" customWidth="1"/>
  </cols>
  <sheetData>
    <row r="1" spans="1:11" ht="72.75" customHeight="1">
      <c r="A1" s="134" t="s">
        <v>115</v>
      </c>
      <c r="B1" s="76"/>
      <c r="C1" s="76"/>
      <c r="D1" s="76"/>
      <c r="E1" s="76"/>
      <c r="F1" s="76"/>
      <c r="G1" s="76"/>
      <c r="H1" s="76"/>
      <c r="I1" s="76"/>
      <c r="J1" s="76"/>
      <c r="K1" s="76"/>
    </row>
    <row r="2" spans="1:12" ht="12.75">
      <c r="A2" s="77" t="s">
        <v>0</v>
      </c>
      <c r="B2" s="78"/>
      <c r="C2" s="81" t="s">
        <v>403</v>
      </c>
      <c r="D2" s="151" t="s">
        <v>85</v>
      </c>
      <c r="E2" s="78"/>
      <c r="F2" s="151" t="s">
        <v>69</v>
      </c>
      <c r="G2" s="78"/>
      <c r="H2" s="84" t="s">
        <v>32</v>
      </c>
      <c r="I2" s="84" t="s">
        <v>603</v>
      </c>
      <c r="J2" s="78"/>
      <c r="K2" s="78"/>
      <c r="L2" s="15"/>
    </row>
    <row r="3" spans="1:12" ht="12.75">
      <c r="A3" s="79"/>
      <c r="B3" s="80"/>
      <c r="C3" s="83"/>
      <c r="D3" s="80"/>
      <c r="E3" s="80"/>
      <c r="F3" s="80"/>
      <c r="G3" s="80"/>
      <c r="H3" s="80"/>
      <c r="I3" s="80"/>
      <c r="J3" s="80"/>
      <c r="K3" s="80"/>
      <c r="L3" s="15"/>
    </row>
    <row r="4" spans="1:12" ht="12.75">
      <c r="A4" s="87" t="s">
        <v>1</v>
      </c>
      <c r="B4" s="80"/>
      <c r="C4" s="88" t="s">
        <v>404</v>
      </c>
      <c r="D4" s="90" t="s">
        <v>3</v>
      </c>
      <c r="E4" s="80"/>
      <c r="F4" s="90" t="s">
        <v>69</v>
      </c>
      <c r="G4" s="80"/>
      <c r="H4" s="88" t="s">
        <v>33</v>
      </c>
      <c r="I4" s="88" t="s">
        <v>604</v>
      </c>
      <c r="J4" s="80"/>
      <c r="K4" s="80"/>
      <c r="L4" s="15"/>
    </row>
    <row r="5" spans="1:12" ht="12.75">
      <c r="A5" s="79"/>
      <c r="B5" s="80"/>
      <c r="C5" s="80"/>
      <c r="D5" s="80"/>
      <c r="E5" s="80"/>
      <c r="F5" s="80"/>
      <c r="G5" s="80"/>
      <c r="H5" s="80"/>
      <c r="I5" s="80"/>
      <c r="J5" s="80"/>
      <c r="K5" s="80"/>
      <c r="L5" s="15"/>
    </row>
    <row r="6" spans="1:12" ht="12.75">
      <c r="A6" s="87" t="s">
        <v>2</v>
      </c>
      <c r="B6" s="80"/>
      <c r="C6" s="88" t="s">
        <v>405</v>
      </c>
      <c r="D6" s="90" t="s">
        <v>35</v>
      </c>
      <c r="E6" s="80"/>
      <c r="F6" s="90" t="s">
        <v>69</v>
      </c>
      <c r="G6" s="80"/>
      <c r="H6" s="88" t="s">
        <v>34</v>
      </c>
      <c r="I6" s="90" t="s">
        <v>605</v>
      </c>
      <c r="J6" s="80"/>
      <c r="K6" s="80"/>
      <c r="L6" s="15"/>
    </row>
    <row r="7" spans="1:12" ht="12.75">
      <c r="A7" s="79"/>
      <c r="B7" s="80"/>
      <c r="C7" s="80"/>
      <c r="D7" s="80"/>
      <c r="E7" s="80"/>
      <c r="F7" s="80"/>
      <c r="G7" s="80"/>
      <c r="H7" s="80"/>
      <c r="I7" s="80"/>
      <c r="J7" s="80"/>
      <c r="K7" s="80"/>
      <c r="L7" s="15"/>
    </row>
    <row r="8" spans="1:12" ht="12.75">
      <c r="A8" s="87" t="s">
        <v>4</v>
      </c>
      <c r="B8" s="80"/>
      <c r="C8" s="88">
        <v>80131</v>
      </c>
      <c r="D8" s="90" t="s">
        <v>86</v>
      </c>
      <c r="E8" s="80"/>
      <c r="F8" s="90" t="s">
        <v>589</v>
      </c>
      <c r="G8" s="80"/>
      <c r="H8" s="88" t="s">
        <v>36</v>
      </c>
      <c r="I8" s="88" t="s">
        <v>606</v>
      </c>
      <c r="J8" s="80"/>
      <c r="K8" s="80"/>
      <c r="L8" s="15"/>
    </row>
    <row r="9" spans="1:12" ht="12.75">
      <c r="A9" s="138"/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5"/>
    </row>
    <row r="10" spans="1:12" ht="12.75">
      <c r="A10" s="40" t="s">
        <v>116</v>
      </c>
      <c r="B10" s="48" t="s">
        <v>93</v>
      </c>
      <c r="C10" s="152" t="s">
        <v>406</v>
      </c>
      <c r="D10" s="153"/>
      <c r="E10" s="154"/>
      <c r="F10" s="48" t="s">
        <v>590</v>
      </c>
      <c r="G10" s="53" t="s">
        <v>600</v>
      </c>
      <c r="H10" s="57" t="s">
        <v>601</v>
      </c>
      <c r="I10" s="144" t="s">
        <v>87</v>
      </c>
      <c r="J10" s="145"/>
      <c r="K10" s="146"/>
      <c r="L10" s="16"/>
    </row>
    <row r="11" spans="1:61" ht="12.75">
      <c r="A11" s="41" t="s">
        <v>69</v>
      </c>
      <c r="B11" s="49" t="s">
        <v>69</v>
      </c>
      <c r="C11" s="147" t="s">
        <v>407</v>
      </c>
      <c r="D11" s="148"/>
      <c r="E11" s="155"/>
      <c r="F11" s="49" t="s">
        <v>69</v>
      </c>
      <c r="G11" s="49" t="s">
        <v>69</v>
      </c>
      <c r="H11" s="58" t="s">
        <v>602</v>
      </c>
      <c r="I11" s="33" t="s">
        <v>88</v>
      </c>
      <c r="J11" s="34" t="s">
        <v>22</v>
      </c>
      <c r="K11" s="35" t="s">
        <v>90</v>
      </c>
      <c r="L11" s="16"/>
      <c r="Y11" s="59" t="s">
        <v>607</v>
      </c>
      <c r="Z11" s="59" t="s">
        <v>608</v>
      </c>
      <c r="AA11" s="59" t="s">
        <v>609</v>
      </c>
      <c r="AB11" s="59" t="s">
        <v>610</v>
      </c>
      <c r="AC11" s="59" t="s">
        <v>611</v>
      </c>
      <c r="AD11" s="59" t="s">
        <v>612</v>
      </c>
      <c r="AE11" s="59" t="s">
        <v>613</v>
      </c>
      <c r="AF11" s="59" t="s">
        <v>614</v>
      </c>
      <c r="AG11" s="59" t="s">
        <v>615</v>
      </c>
      <c r="BG11" s="59" t="s">
        <v>668</v>
      </c>
      <c r="BH11" s="59" t="s">
        <v>669</v>
      </c>
      <c r="BI11" s="59" t="s">
        <v>670</v>
      </c>
    </row>
    <row r="12" spans="1:11" ht="12.75">
      <c r="A12" s="42"/>
      <c r="B12" s="50"/>
      <c r="C12" s="156" t="s">
        <v>79</v>
      </c>
      <c r="D12" s="157"/>
      <c r="E12" s="157"/>
      <c r="F12" s="42" t="s">
        <v>69</v>
      </c>
      <c r="G12" s="42" t="s">
        <v>69</v>
      </c>
      <c r="H12" s="42" t="s">
        <v>69</v>
      </c>
      <c r="I12" s="63">
        <f>I13+I16+I27+I32+I39+I43+I47+I55+I59+I66+I70+I79+I82+I85+I87+I90+I92+I105+I109+I113+I116</f>
        <v>0</v>
      </c>
      <c r="J12" s="63">
        <f>J13+J16+J27+J32+J39+J43+J47+J55+J59+J66+J70+J79+J82+J85+J87+J90+J92+J105+J109+J113+J116</f>
        <v>0</v>
      </c>
      <c r="K12" s="63">
        <f>K13+K16+K27+K32+K39+K43+K47+K55+K59+K66+K70+K79+K82+K85+K87+K90+K92+K105+K109+K113+K116</f>
        <v>0</v>
      </c>
    </row>
    <row r="13" spans="1:46" ht="12.75">
      <c r="A13" s="43"/>
      <c r="B13" s="51" t="s">
        <v>143</v>
      </c>
      <c r="C13" s="158" t="s">
        <v>408</v>
      </c>
      <c r="D13" s="159"/>
      <c r="E13" s="159"/>
      <c r="F13" s="43" t="s">
        <v>69</v>
      </c>
      <c r="G13" s="43" t="s">
        <v>69</v>
      </c>
      <c r="H13" s="43" t="s">
        <v>69</v>
      </c>
      <c r="I13" s="64">
        <f>SUM(I14:I15)</f>
        <v>0</v>
      </c>
      <c r="J13" s="64">
        <f>SUM(J14:J15)</f>
        <v>0</v>
      </c>
      <c r="K13" s="64">
        <f>SUM(K14:K15)</f>
        <v>0</v>
      </c>
      <c r="AH13" s="59" t="s">
        <v>71</v>
      </c>
      <c r="AR13" s="64">
        <f>SUM(AI14:AI15)</f>
        <v>0</v>
      </c>
      <c r="AS13" s="64">
        <f>SUM(AJ14:AJ15)</f>
        <v>0</v>
      </c>
      <c r="AT13" s="64">
        <f>SUM(AK14:AK15)</f>
        <v>0</v>
      </c>
    </row>
    <row r="14" spans="1:61" ht="12.75">
      <c r="A14" s="44" t="s">
        <v>117</v>
      </c>
      <c r="B14" s="44" t="s">
        <v>250</v>
      </c>
      <c r="C14" s="160" t="s">
        <v>409</v>
      </c>
      <c r="D14" s="161"/>
      <c r="E14" s="161"/>
      <c r="F14" s="44" t="s">
        <v>591</v>
      </c>
      <c r="G14" s="54">
        <v>0.07</v>
      </c>
      <c r="H14" s="54">
        <v>0</v>
      </c>
      <c r="I14" s="54">
        <f>G14*AN14</f>
        <v>0</v>
      </c>
      <c r="J14" s="54">
        <f>G14*AO14</f>
        <v>0</v>
      </c>
      <c r="K14" s="54">
        <f>G14*H14</f>
        <v>0</v>
      </c>
      <c r="Y14" s="36">
        <f>IF(AP14="5",BI14,0)</f>
        <v>0</v>
      </c>
      <c r="AA14" s="36">
        <f>IF(AP14="1",BG14,0)</f>
        <v>0</v>
      </c>
      <c r="AB14" s="36">
        <f>IF(AP14="1",BH14,0)</f>
        <v>0</v>
      </c>
      <c r="AC14" s="36">
        <f>IF(AP14="7",BG14,0)</f>
        <v>0</v>
      </c>
      <c r="AD14" s="36">
        <f>IF(AP14="7",BH14,0)</f>
        <v>0</v>
      </c>
      <c r="AE14" s="36">
        <f>IF(AP14="2",BG14,0)</f>
        <v>0</v>
      </c>
      <c r="AF14" s="36">
        <f>IF(AP14="2",BH14,0)</f>
        <v>0</v>
      </c>
      <c r="AG14" s="36">
        <f>IF(AP14="0",BI14,0)</f>
        <v>0</v>
      </c>
      <c r="AH14" s="59" t="s">
        <v>71</v>
      </c>
      <c r="AI14" s="54">
        <f>IF(AM14=0,K14,0)</f>
        <v>0</v>
      </c>
      <c r="AJ14" s="54">
        <f>IF(AM14=15,K14,0)</f>
        <v>0</v>
      </c>
      <c r="AK14" s="54">
        <f>IF(AM14=21,K14,0)</f>
        <v>0</v>
      </c>
      <c r="AM14" s="36">
        <v>21</v>
      </c>
      <c r="AN14" s="36">
        <f>H14*0.840422297297298</f>
        <v>0</v>
      </c>
      <c r="AO14" s="36">
        <f>H14*(1-0.840422297297298)</f>
        <v>0</v>
      </c>
      <c r="AP14" s="60" t="s">
        <v>117</v>
      </c>
      <c r="AU14" s="36">
        <f>AV14+AW14</f>
        <v>0</v>
      </c>
      <c r="AV14" s="36">
        <f>G14*AN14</f>
        <v>0</v>
      </c>
      <c r="AW14" s="36">
        <f>G14*AO14</f>
        <v>0</v>
      </c>
      <c r="AX14" s="62" t="s">
        <v>617</v>
      </c>
      <c r="AY14" s="62" t="s">
        <v>646</v>
      </c>
      <c r="AZ14" s="59" t="s">
        <v>662</v>
      </c>
      <c r="BB14" s="36">
        <f>AV14+AW14</f>
        <v>0</v>
      </c>
      <c r="BC14" s="36">
        <f>H14/(100-BD14)*100</f>
        <v>0</v>
      </c>
      <c r="BD14" s="36">
        <v>0</v>
      </c>
      <c r="BE14" s="36">
        <f>14</f>
        <v>14</v>
      </c>
      <c r="BG14" s="54">
        <f>G14*AN14</f>
        <v>0</v>
      </c>
      <c r="BH14" s="54">
        <f>G14*AO14</f>
        <v>0</v>
      </c>
      <c r="BI14" s="54">
        <f>G14*H14</f>
        <v>0</v>
      </c>
    </row>
    <row r="15" spans="1:61" ht="12.75">
      <c r="A15" s="44" t="s">
        <v>118</v>
      </c>
      <c r="B15" s="44" t="s">
        <v>251</v>
      </c>
      <c r="C15" s="160" t="s">
        <v>410</v>
      </c>
      <c r="D15" s="161"/>
      <c r="E15" s="161"/>
      <c r="F15" s="44" t="s">
        <v>592</v>
      </c>
      <c r="G15" s="54">
        <v>0.18</v>
      </c>
      <c r="H15" s="54">
        <v>0</v>
      </c>
      <c r="I15" s="54">
        <f>G15*AN15</f>
        <v>0</v>
      </c>
      <c r="J15" s="54">
        <f>G15*AO15</f>
        <v>0</v>
      </c>
      <c r="K15" s="54">
        <f>G15*H15</f>
        <v>0</v>
      </c>
      <c r="Y15" s="36">
        <f>IF(AP15="5",BI15,0)</f>
        <v>0</v>
      </c>
      <c r="AA15" s="36">
        <f>IF(AP15="1",BG15,0)</f>
        <v>0</v>
      </c>
      <c r="AB15" s="36">
        <f>IF(AP15="1",BH15,0)</f>
        <v>0</v>
      </c>
      <c r="AC15" s="36">
        <f>IF(AP15="7",BG15,0)</f>
        <v>0</v>
      </c>
      <c r="AD15" s="36">
        <f>IF(AP15="7",BH15,0)</f>
        <v>0</v>
      </c>
      <c r="AE15" s="36">
        <f>IF(AP15="2",BG15,0)</f>
        <v>0</v>
      </c>
      <c r="AF15" s="36">
        <f>IF(AP15="2",BH15,0)</f>
        <v>0</v>
      </c>
      <c r="AG15" s="36">
        <f>IF(AP15="0",BI15,0)</f>
        <v>0</v>
      </c>
      <c r="AH15" s="59" t="s">
        <v>71</v>
      </c>
      <c r="AI15" s="54">
        <f>IF(AM15=0,K15,0)</f>
        <v>0</v>
      </c>
      <c r="AJ15" s="54">
        <f>IF(AM15=15,K15,0)</f>
        <v>0</v>
      </c>
      <c r="AK15" s="54">
        <f>IF(AM15=21,K15,0)</f>
        <v>0</v>
      </c>
      <c r="AM15" s="36">
        <v>21</v>
      </c>
      <c r="AN15" s="36">
        <f>H15*0</f>
        <v>0</v>
      </c>
      <c r="AO15" s="36">
        <f>H15*(1-0)</f>
        <v>0</v>
      </c>
      <c r="AP15" s="60" t="s">
        <v>120</v>
      </c>
      <c r="AU15" s="36">
        <f>AV15+AW15</f>
        <v>0</v>
      </c>
      <c r="AV15" s="36">
        <f>G15*AN15</f>
        <v>0</v>
      </c>
      <c r="AW15" s="36">
        <f>G15*AO15</f>
        <v>0</v>
      </c>
      <c r="AX15" s="62" t="s">
        <v>617</v>
      </c>
      <c r="AY15" s="62" t="s">
        <v>646</v>
      </c>
      <c r="AZ15" s="59" t="s">
        <v>662</v>
      </c>
      <c r="BB15" s="36">
        <f>AV15+AW15</f>
        <v>0</v>
      </c>
      <c r="BC15" s="36">
        <f>H15/(100-BD15)*100</f>
        <v>0</v>
      </c>
      <c r="BD15" s="36">
        <v>0</v>
      </c>
      <c r="BE15" s="36">
        <f>15</f>
        <v>15</v>
      </c>
      <c r="BG15" s="54">
        <f>G15*AN15</f>
        <v>0</v>
      </c>
      <c r="BH15" s="54">
        <f>G15*AO15</f>
        <v>0</v>
      </c>
      <c r="BI15" s="54">
        <f>G15*H15</f>
        <v>0</v>
      </c>
    </row>
    <row r="16" spans="1:46" ht="12.75">
      <c r="A16" s="43"/>
      <c r="B16" s="51" t="s">
        <v>146</v>
      </c>
      <c r="C16" s="158" t="s">
        <v>411</v>
      </c>
      <c r="D16" s="159"/>
      <c r="E16" s="159"/>
      <c r="F16" s="43" t="s">
        <v>69</v>
      </c>
      <c r="G16" s="43" t="s">
        <v>69</v>
      </c>
      <c r="H16" s="43" t="s">
        <v>69</v>
      </c>
      <c r="I16" s="64">
        <f>SUM(I17:I26)</f>
        <v>0</v>
      </c>
      <c r="J16" s="64">
        <f>SUM(J17:J26)</f>
        <v>0</v>
      </c>
      <c r="K16" s="64">
        <f>SUM(K17:K26)</f>
        <v>0</v>
      </c>
      <c r="AH16" s="59" t="s">
        <v>71</v>
      </c>
      <c r="AR16" s="64">
        <f>SUM(AI17:AI26)</f>
        <v>0</v>
      </c>
      <c r="AS16" s="64">
        <f>SUM(AJ17:AJ26)</f>
        <v>0</v>
      </c>
      <c r="AT16" s="64">
        <f>SUM(AK17:AK26)</f>
        <v>0</v>
      </c>
    </row>
    <row r="17" spans="1:61" ht="12.75">
      <c r="A17" s="44" t="s">
        <v>94</v>
      </c>
      <c r="B17" s="44" t="s">
        <v>252</v>
      </c>
      <c r="C17" s="160" t="s">
        <v>412</v>
      </c>
      <c r="D17" s="161"/>
      <c r="E17" s="161"/>
      <c r="F17" s="44" t="s">
        <v>593</v>
      </c>
      <c r="G17" s="54">
        <v>17.39</v>
      </c>
      <c r="H17" s="54">
        <v>0</v>
      </c>
      <c r="I17" s="54">
        <f aca="true" t="shared" si="0" ref="I17:I23">G17*AN17</f>
        <v>0</v>
      </c>
      <c r="J17" s="54">
        <f aca="true" t="shared" si="1" ref="J17:J23">G17*AO17</f>
        <v>0</v>
      </c>
      <c r="K17" s="54">
        <f aca="true" t="shared" si="2" ref="K17:K23">G17*H17</f>
        <v>0</v>
      </c>
      <c r="Y17" s="36">
        <f aca="true" t="shared" si="3" ref="Y17:Y23">IF(AP17="5",BI17,0)</f>
        <v>0</v>
      </c>
      <c r="AA17" s="36">
        <f aca="true" t="shared" si="4" ref="AA17:AA23">IF(AP17="1",BG17,0)</f>
        <v>0</v>
      </c>
      <c r="AB17" s="36">
        <f aca="true" t="shared" si="5" ref="AB17:AB23">IF(AP17="1",BH17,0)</f>
        <v>0</v>
      </c>
      <c r="AC17" s="36">
        <f aca="true" t="shared" si="6" ref="AC17:AC23">IF(AP17="7",BG17,0)</f>
        <v>0</v>
      </c>
      <c r="AD17" s="36">
        <f aca="true" t="shared" si="7" ref="AD17:AD23">IF(AP17="7",BH17,0)</f>
        <v>0</v>
      </c>
      <c r="AE17" s="36">
        <f aca="true" t="shared" si="8" ref="AE17:AE23">IF(AP17="2",BG17,0)</f>
        <v>0</v>
      </c>
      <c r="AF17" s="36">
        <f aca="true" t="shared" si="9" ref="AF17:AF23">IF(AP17="2",BH17,0)</f>
        <v>0</v>
      </c>
      <c r="AG17" s="36">
        <f aca="true" t="shared" si="10" ref="AG17:AG23">IF(AP17="0",BI17,0)</f>
        <v>0</v>
      </c>
      <c r="AH17" s="59" t="s">
        <v>71</v>
      </c>
      <c r="AI17" s="54">
        <f aca="true" t="shared" si="11" ref="AI17:AI23">IF(AM17=0,K17,0)</f>
        <v>0</v>
      </c>
      <c r="AJ17" s="54">
        <f aca="true" t="shared" si="12" ref="AJ17:AJ23">IF(AM17=15,K17,0)</f>
        <v>0</v>
      </c>
      <c r="AK17" s="54">
        <f aca="true" t="shared" si="13" ref="AK17:AK23">IF(AM17=21,K17,0)</f>
        <v>0</v>
      </c>
      <c r="AM17" s="36">
        <v>21</v>
      </c>
      <c r="AN17" s="36">
        <f>H17*0.189561318701459</f>
        <v>0</v>
      </c>
      <c r="AO17" s="36">
        <f>H17*(1-0.189561318701459)</f>
        <v>0</v>
      </c>
      <c r="AP17" s="60" t="s">
        <v>117</v>
      </c>
      <c r="AU17" s="36">
        <f aca="true" t="shared" si="14" ref="AU17:AU23">AV17+AW17</f>
        <v>0</v>
      </c>
      <c r="AV17" s="36">
        <f aca="true" t="shared" si="15" ref="AV17:AV23">G17*AN17</f>
        <v>0</v>
      </c>
      <c r="AW17" s="36">
        <f aca="true" t="shared" si="16" ref="AW17:AW23">G17*AO17</f>
        <v>0</v>
      </c>
      <c r="AX17" s="62" t="s">
        <v>618</v>
      </c>
      <c r="AY17" s="62" t="s">
        <v>646</v>
      </c>
      <c r="AZ17" s="59" t="s">
        <v>662</v>
      </c>
      <c r="BB17" s="36">
        <f aca="true" t="shared" si="17" ref="BB17:BB23">AV17+AW17</f>
        <v>0</v>
      </c>
      <c r="BC17" s="36">
        <f aca="true" t="shared" si="18" ref="BC17:BC23">H17/(100-BD17)*100</f>
        <v>0</v>
      </c>
      <c r="BD17" s="36">
        <v>0</v>
      </c>
      <c r="BE17" s="36">
        <f>17</f>
        <v>17</v>
      </c>
      <c r="BG17" s="54">
        <f aca="true" t="shared" si="19" ref="BG17:BG23">G17*AN17</f>
        <v>0</v>
      </c>
      <c r="BH17" s="54">
        <f aca="true" t="shared" si="20" ref="BH17:BH23">G17*AO17</f>
        <v>0</v>
      </c>
      <c r="BI17" s="54">
        <f aca="true" t="shared" si="21" ref="BI17:BI23">G17*H17</f>
        <v>0</v>
      </c>
    </row>
    <row r="18" spans="1:61" ht="12.75">
      <c r="A18" s="44" t="s">
        <v>119</v>
      </c>
      <c r="B18" s="44" t="s">
        <v>253</v>
      </c>
      <c r="C18" s="160" t="s">
        <v>413</v>
      </c>
      <c r="D18" s="161"/>
      <c r="E18" s="161"/>
      <c r="F18" s="44" t="s">
        <v>594</v>
      </c>
      <c r="G18" s="54">
        <v>6</v>
      </c>
      <c r="H18" s="54">
        <v>0</v>
      </c>
      <c r="I18" s="54">
        <f t="shared" si="0"/>
        <v>0</v>
      </c>
      <c r="J18" s="54">
        <f t="shared" si="1"/>
        <v>0</v>
      </c>
      <c r="K18" s="54">
        <f t="shared" si="2"/>
        <v>0</v>
      </c>
      <c r="Y18" s="36">
        <f t="shared" si="3"/>
        <v>0</v>
      </c>
      <c r="AA18" s="36">
        <f t="shared" si="4"/>
        <v>0</v>
      </c>
      <c r="AB18" s="36">
        <f t="shared" si="5"/>
        <v>0</v>
      </c>
      <c r="AC18" s="36">
        <f t="shared" si="6"/>
        <v>0</v>
      </c>
      <c r="AD18" s="36">
        <f t="shared" si="7"/>
        <v>0</v>
      </c>
      <c r="AE18" s="36">
        <f t="shared" si="8"/>
        <v>0</v>
      </c>
      <c r="AF18" s="36">
        <f t="shared" si="9"/>
        <v>0</v>
      </c>
      <c r="AG18" s="36">
        <f t="shared" si="10"/>
        <v>0</v>
      </c>
      <c r="AH18" s="59" t="s">
        <v>71</v>
      </c>
      <c r="AI18" s="54">
        <f t="shared" si="11"/>
        <v>0</v>
      </c>
      <c r="AJ18" s="54">
        <f t="shared" si="12"/>
        <v>0</v>
      </c>
      <c r="AK18" s="54">
        <f t="shared" si="13"/>
        <v>0</v>
      </c>
      <c r="AM18" s="36">
        <v>21</v>
      </c>
      <c r="AN18" s="36">
        <f>H18*0.0123819978046103</f>
        <v>0</v>
      </c>
      <c r="AO18" s="36">
        <f>H18*(1-0.0123819978046103)</f>
        <v>0</v>
      </c>
      <c r="AP18" s="60" t="s">
        <v>117</v>
      </c>
      <c r="AU18" s="36">
        <f t="shared" si="14"/>
        <v>0</v>
      </c>
      <c r="AV18" s="36">
        <f t="shared" si="15"/>
        <v>0</v>
      </c>
      <c r="AW18" s="36">
        <f t="shared" si="16"/>
        <v>0</v>
      </c>
      <c r="AX18" s="62" t="s">
        <v>618</v>
      </c>
      <c r="AY18" s="62" t="s">
        <v>646</v>
      </c>
      <c r="AZ18" s="59" t="s">
        <v>662</v>
      </c>
      <c r="BB18" s="36">
        <f t="shared" si="17"/>
        <v>0</v>
      </c>
      <c r="BC18" s="36">
        <f t="shared" si="18"/>
        <v>0</v>
      </c>
      <c r="BD18" s="36">
        <v>0</v>
      </c>
      <c r="BE18" s="36">
        <f>18</f>
        <v>18</v>
      </c>
      <c r="BG18" s="54">
        <f t="shared" si="19"/>
        <v>0</v>
      </c>
      <c r="BH18" s="54">
        <f t="shared" si="20"/>
        <v>0</v>
      </c>
      <c r="BI18" s="54">
        <f t="shared" si="21"/>
        <v>0</v>
      </c>
    </row>
    <row r="19" spans="1:61" ht="12.75">
      <c r="A19" s="45" t="s">
        <v>120</v>
      </c>
      <c r="B19" s="45" t="s">
        <v>254</v>
      </c>
      <c r="C19" s="162" t="s">
        <v>414</v>
      </c>
      <c r="D19" s="163"/>
      <c r="E19" s="163"/>
      <c r="F19" s="45" t="s">
        <v>594</v>
      </c>
      <c r="G19" s="55">
        <v>6</v>
      </c>
      <c r="H19" s="55">
        <v>0</v>
      </c>
      <c r="I19" s="55">
        <f t="shared" si="0"/>
        <v>0</v>
      </c>
      <c r="J19" s="55">
        <f t="shared" si="1"/>
        <v>0</v>
      </c>
      <c r="K19" s="55">
        <f t="shared" si="2"/>
        <v>0</v>
      </c>
      <c r="Y19" s="36">
        <f t="shared" si="3"/>
        <v>0</v>
      </c>
      <c r="AA19" s="36">
        <f t="shared" si="4"/>
        <v>0</v>
      </c>
      <c r="AB19" s="36">
        <f t="shared" si="5"/>
        <v>0</v>
      </c>
      <c r="AC19" s="36">
        <f t="shared" si="6"/>
        <v>0</v>
      </c>
      <c r="AD19" s="36">
        <f t="shared" si="7"/>
        <v>0</v>
      </c>
      <c r="AE19" s="36">
        <f t="shared" si="8"/>
        <v>0</v>
      </c>
      <c r="AF19" s="36">
        <f t="shared" si="9"/>
        <v>0</v>
      </c>
      <c r="AG19" s="36">
        <f t="shared" si="10"/>
        <v>0</v>
      </c>
      <c r="AH19" s="59" t="s">
        <v>71</v>
      </c>
      <c r="AI19" s="55">
        <f t="shared" si="11"/>
        <v>0</v>
      </c>
      <c r="AJ19" s="55">
        <f t="shared" si="12"/>
        <v>0</v>
      </c>
      <c r="AK19" s="55">
        <f t="shared" si="13"/>
        <v>0</v>
      </c>
      <c r="AM19" s="36">
        <v>21</v>
      </c>
      <c r="AN19" s="36">
        <f>H19*1</f>
        <v>0</v>
      </c>
      <c r="AO19" s="36">
        <f>H19*(1-1)</f>
        <v>0</v>
      </c>
      <c r="AP19" s="61" t="s">
        <v>117</v>
      </c>
      <c r="AU19" s="36">
        <f t="shared" si="14"/>
        <v>0</v>
      </c>
      <c r="AV19" s="36">
        <f t="shared" si="15"/>
        <v>0</v>
      </c>
      <c r="AW19" s="36">
        <f t="shared" si="16"/>
        <v>0</v>
      </c>
      <c r="AX19" s="62" t="s">
        <v>618</v>
      </c>
      <c r="AY19" s="62" t="s">
        <v>646</v>
      </c>
      <c r="AZ19" s="59" t="s">
        <v>662</v>
      </c>
      <c r="BB19" s="36">
        <f t="shared" si="17"/>
        <v>0</v>
      </c>
      <c r="BC19" s="36">
        <f t="shared" si="18"/>
        <v>0</v>
      </c>
      <c r="BD19" s="36">
        <v>0</v>
      </c>
      <c r="BE19" s="36">
        <f>19</f>
        <v>19</v>
      </c>
      <c r="BG19" s="55">
        <f t="shared" si="19"/>
        <v>0</v>
      </c>
      <c r="BH19" s="55">
        <f t="shared" si="20"/>
        <v>0</v>
      </c>
      <c r="BI19" s="55">
        <f t="shared" si="21"/>
        <v>0</v>
      </c>
    </row>
    <row r="20" spans="1:61" ht="12.75">
      <c r="A20" s="44" t="s">
        <v>95</v>
      </c>
      <c r="B20" s="44" t="s">
        <v>255</v>
      </c>
      <c r="C20" s="160" t="s">
        <v>415</v>
      </c>
      <c r="D20" s="161"/>
      <c r="E20" s="161"/>
      <c r="F20" s="44" t="s">
        <v>595</v>
      </c>
      <c r="G20" s="54">
        <v>5.52</v>
      </c>
      <c r="H20" s="54">
        <v>0</v>
      </c>
      <c r="I20" s="54">
        <f t="shared" si="0"/>
        <v>0</v>
      </c>
      <c r="J20" s="54">
        <f t="shared" si="1"/>
        <v>0</v>
      </c>
      <c r="K20" s="54">
        <f t="shared" si="2"/>
        <v>0</v>
      </c>
      <c r="Y20" s="36">
        <f t="shared" si="3"/>
        <v>0</v>
      </c>
      <c r="AA20" s="36">
        <f t="shared" si="4"/>
        <v>0</v>
      </c>
      <c r="AB20" s="36">
        <f t="shared" si="5"/>
        <v>0</v>
      </c>
      <c r="AC20" s="36">
        <f t="shared" si="6"/>
        <v>0</v>
      </c>
      <c r="AD20" s="36">
        <f t="shared" si="7"/>
        <v>0</v>
      </c>
      <c r="AE20" s="36">
        <f t="shared" si="8"/>
        <v>0</v>
      </c>
      <c r="AF20" s="36">
        <f t="shared" si="9"/>
        <v>0</v>
      </c>
      <c r="AG20" s="36">
        <f t="shared" si="10"/>
        <v>0</v>
      </c>
      <c r="AH20" s="59" t="s">
        <v>71</v>
      </c>
      <c r="AI20" s="54">
        <f t="shared" si="11"/>
        <v>0</v>
      </c>
      <c r="AJ20" s="54">
        <f t="shared" si="12"/>
        <v>0</v>
      </c>
      <c r="AK20" s="54">
        <f t="shared" si="13"/>
        <v>0</v>
      </c>
      <c r="AM20" s="36">
        <v>21</v>
      </c>
      <c r="AN20" s="36">
        <f>H20*0.699527207850134</f>
        <v>0</v>
      </c>
      <c r="AO20" s="36">
        <f>H20*(1-0.699527207850134)</f>
        <v>0</v>
      </c>
      <c r="AP20" s="60" t="s">
        <v>117</v>
      </c>
      <c r="AU20" s="36">
        <f t="shared" si="14"/>
        <v>0</v>
      </c>
      <c r="AV20" s="36">
        <f t="shared" si="15"/>
        <v>0</v>
      </c>
      <c r="AW20" s="36">
        <f t="shared" si="16"/>
        <v>0</v>
      </c>
      <c r="AX20" s="62" t="s">
        <v>618</v>
      </c>
      <c r="AY20" s="62" t="s">
        <v>646</v>
      </c>
      <c r="AZ20" s="59" t="s">
        <v>662</v>
      </c>
      <c r="BB20" s="36">
        <f t="shared" si="17"/>
        <v>0</v>
      </c>
      <c r="BC20" s="36">
        <f t="shared" si="18"/>
        <v>0</v>
      </c>
      <c r="BD20" s="36">
        <v>0</v>
      </c>
      <c r="BE20" s="36">
        <f>20</f>
        <v>20</v>
      </c>
      <c r="BG20" s="54">
        <f t="shared" si="19"/>
        <v>0</v>
      </c>
      <c r="BH20" s="54">
        <f t="shared" si="20"/>
        <v>0</v>
      </c>
      <c r="BI20" s="54">
        <f t="shared" si="21"/>
        <v>0</v>
      </c>
    </row>
    <row r="21" spans="1:61" ht="12.75">
      <c r="A21" s="44" t="s">
        <v>121</v>
      </c>
      <c r="B21" s="44" t="s">
        <v>256</v>
      </c>
      <c r="C21" s="160" t="s">
        <v>416</v>
      </c>
      <c r="D21" s="161"/>
      <c r="E21" s="161"/>
      <c r="F21" s="44" t="s">
        <v>595</v>
      </c>
      <c r="G21" s="54">
        <v>16.89</v>
      </c>
      <c r="H21" s="54">
        <v>0</v>
      </c>
      <c r="I21" s="54">
        <f t="shared" si="0"/>
        <v>0</v>
      </c>
      <c r="J21" s="54">
        <f t="shared" si="1"/>
        <v>0</v>
      </c>
      <c r="K21" s="54">
        <f t="shared" si="2"/>
        <v>0</v>
      </c>
      <c r="Y21" s="36">
        <f t="shared" si="3"/>
        <v>0</v>
      </c>
      <c r="AA21" s="36">
        <f t="shared" si="4"/>
        <v>0</v>
      </c>
      <c r="AB21" s="36">
        <f t="shared" si="5"/>
        <v>0</v>
      </c>
      <c r="AC21" s="36">
        <f t="shared" si="6"/>
        <v>0</v>
      </c>
      <c r="AD21" s="36">
        <f t="shared" si="7"/>
        <v>0</v>
      </c>
      <c r="AE21" s="36">
        <f t="shared" si="8"/>
        <v>0</v>
      </c>
      <c r="AF21" s="36">
        <f t="shared" si="9"/>
        <v>0</v>
      </c>
      <c r="AG21" s="36">
        <f t="shared" si="10"/>
        <v>0</v>
      </c>
      <c r="AH21" s="59" t="s">
        <v>71</v>
      </c>
      <c r="AI21" s="54">
        <f t="shared" si="11"/>
        <v>0</v>
      </c>
      <c r="AJ21" s="54">
        <f t="shared" si="12"/>
        <v>0</v>
      </c>
      <c r="AK21" s="54">
        <f t="shared" si="13"/>
        <v>0</v>
      </c>
      <c r="AM21" s="36">
        <v>21</v>
      </c>
      <c r="AN21" s="36">
        <f>H21*0.651335504885993</f>
        <v>0</v>
      </c>
      <c r="AO21" s="36">
        <f>H21*(1-0.651335504885993)</f>
        <v>0</v>
      </c>
      <c r="AP21" s="60" t="s">
        <v>117</v>
      </c>
      <c r="AU21" s="36">
        <f t="shared" si="14"/>
        <v>0</v>
      </c>
      <c r="AV21" s="36">
        <f t="shared" si="15"/>
        <v>0</v>
      </c>
      <c r="AW21" s="36">
        <f t="shared" si="16"/>
        <v>0</v>
      </c>
      <c r="AX21" s="62" t="s">
        <v>618</v>
      </c>
      <c r="AY21" s="62" t="s">
        <v>646</v>
      </c>
      <c r="AZ21" s="59" t="s">
        <v>662</v>
      </c>
      <c r="BB21" s="36">
        <f t="shared" si="17"/>
        <v>0</v>
      </c>
      <c r="BC21" s="36">
        <f t="shared" si="18"/>
        <v>0</v>
      </c>
      <c r="BD21" s="36">
        <v>0</v>
      </c>
      <c r="BE21" s="36">
        <f>21</f>
        <v>21</v>
      </c>
      <c r="BG21" s="54">
        <f t="shared" si="19"/>
        <v>0</v>
      </c>
      <c r="BH21" s="54">
        <f t="shared" si="20"/>
        <v>0</v>
      </c>
      <c r="BI21" s="54">
        <f t="shared" si="21"/>
        <v>0</v>
      </c>
    </row>
    <row r="22" spans="1:61" ht="12.75">
      <c r="A22" s="44" t="s">
        <v>102</v>
      </c>
      <c r="B22" s="44" t="s">
        <v>257</v>
      </c>
      <c r="C22" s="160" t="s">
        <v>417</v>
      </c>
      <c r="D22" s="161"/>
      <c r="E22" s="161"/>
      <c r="F22" s="44" t="s">
        <v>595</v>
      </c>
      <c r="G22" s="54">
        <v>3.6</v>
      </c>
      <c r="H22" s="54">
        <v>0</v>
      </c>
      <c r="I22" s="54">
        <f t="shared" si="0"/>
        <v>0</v>
      </c>
      <c r="J22" s="54">
        <f t="shared" si="1"/>
        <v>0</v>
      </c>
      <c r="K22" s="54">
        <f t="shared" si="2"/>
        <v>0</v>
      </c>
      <c r="Y22" s="36">
        <f t="shared" si="3"/>
        <v>0</v>
      </c>
      <c r="AA22" s="36">
        <f t="shared" si="4"/>
        <v>0</v>
      </c>
      <c r="AB22" s="36">
        <f t="shared" si="5"/>
        <v>0</v>
      </c>
      <c r="AC22" s="36">
        <f t="shared" si="6"/>
        <v>0</v>
      </c>
      <c r="AD22" s="36">
        <f t="shared" si="7"/>
        <v>0</v>
      </c>
      <c r="AE22" s="36">
        <f t="shared" si="8"/>
        <v>0</v>
      </c>
      <c r="AF22" s="36">
        <f t="shared" si="9"/>
        <v>0</v>
      </c>
      <c r="AG22" s="36">
        <f t="shared" si="10"/>
        <v>0</v>
      </c>
      <c r="AH22" s="59" t="s">
        <v>71</v>
      </c>
      <c r="AI22" s="54">
        <f t="shared" si="11"/>
        <v>0</v>
      </c>
      <c r="AJ22" s="54">
        <f t="shared" si="12"/>
        <v>0</v>
      </c>
      <c r="AK22" s="54">
        <f t="shared" si="13"/>
        <v>0</v>
      </c>
      <c r="AM22" s="36">
        <v>21</v>
      </c>
      <c r="AN22" s="36">
        <f>H22*0.583961887100126</f>
        <v>0</v>
      </c>
      <c r="AO22" s="36">
        <f>H22*(1-0.583961887100126)</f>
        <v>0</v>
      </c>
      <c r="AP22" s="60" t="s">
        <v>117</v>
      </c>
      <c r="AU22" s="36">
        <f t="shared" si="14"/>
        <v>0</v>
      </c>
      <c r="AV22" s="36">
        <f t="shared" si="15"/>
        <v>0</v>
      </c>
      <c r="AW22" s="36">
        <f t="shared" si="16"/>
        <v>0</v>
      </c>
      <c r="AX22" s="62" t="s">
        <v>618</v>
      </c>
      <c r="AY22" s="62" t="s">
        <v>646</v>
      </c>
      <c r="AZ22" s="59" t="s">
        <v>662</v>
      </c>
      <c r="BB22" s="36">
        <f t="shared" si="17"/>
        <v>0</v>
      </c>
      <c r="BC22" s="36">
        <f t="shared" si="18"/>
        <v>0</v>
      </c>
      <c r="BD22" s="36">
        <v>0</v>
      </c>
      <c r="BE22" s="36">
        <f>22</f>
        <v>22</v>
      </c>
      <c r="BG22" s="54">
        <f t="shared" si="19"/>
        <v>0</v>
      </c>
      <c r="BH22" s="54">
        <f t="shared" si="20"/>
        <v>0</v>
      </c>
      <c r="BI22" s="54">
        <f t="shared" si="21"/>
        <v>0</v>
      </c>
    </row>
    <row r="23" spans="1:61" ht="12.75">
      <c r="A23" s="44" t="s">
        <v>100</v>
      </c>
      <c r="B23" s="44" t="s">
        <v>258</v>
      </c>
      <c r="C23" s="160" t="s">
        <v>418</v>
      </c>
      <c r="D23" s="161"/>
      <c r="E23" s="161"/>
      <c r="F23" s="44" t="s">
        <v>595</v>
      </c>
      <c r="G23" s="54">
        <v>10.35</v>
      </c>
      <c r="H23" s="54">
        <v>0</v>
      </c>
      <c r="I23" s="54">
        <f t="shared" si="0"/>
        <v>0</v>
      </c>
      <c r="J23" s="54">
        <f t="shared" si="1"/>
        <v>0</v>
      </c>
      <c r="K23" s="54">
        <f t="shared" si="2"/>
        <v>0</v>
      </c>
      <c r="Y23" s="36">
        <f t="shared" si="3"/>
        <v>0</v>
      </c>
      <c r="AA23" s="36">
        <f t="shared" si="4"/>
        <v>0</v>
      </c>
      <c r="AB23" s="36">
        <f t="shared" si="5"/>
        <v>0</v>
      </c>
      <c r="AC23" s="36">
        <f t="shared" si="6"/>
        <v>0</v>
      </c>
      <c r="AD23" s="36">
        <f t="shared" si="7"/>
        <v>0</v>
      </c>
      <c r="AE23" s="36">
        <f t="shared" si="8"/>
        <v>0</v>
      </c>
      <c r="AF23" s="36">
        <f t="shared" si="9"/>
        <v>0</v>
      </c>
      <c r="AG23" s="36">
        <f t="shared" si="10"/>
        <v>0</v>
      </c>
      <c r="AH23" s="59" t="s">
        <v>71</v>
      </c>
      <c r="AI23" s="54">
        <f t="shared" si="11"/>
        <v>0</v>
      </c>
      <c r="AJ23" s="54">
        <f t="shared" si="12"/>
        <v>0</v>
      </c>
      <c r="AK23" s="54">
        <f t="shared" si="13"/>
        <v>0</v>
      </c>
      <c r="AM23" s="36">
        <v>21</v>
      </c>
      <c r="AN23" s="36">
        <f>H23*0.660449601160261</f>
        <v>0</v>
      </c>
      <c r="AO23" s="36">
        <f>H23*(1-0.660449601160261)</f>
        <v>0</v>
      </c>
      <c r="AP23" s="60" t="s">
        <v>117</v>
      </c>
      <c r="AU23" s="36">
        <f t="shared" si="14"/>
        <v>0</v>
      </c>
      <c r="AV23" s="36">
        <f t="shared" si="15"/>
        <v>0</v>
      </c>
      <c r="AW23" s="36">
        <f t="shared" si="16"/>
        <v>0</v>
      </c>
      <c r="AX23" s="62" t="s">
        <v>618</v>
      </c>
      <c r="AY23" s="62" t="s">
        <v>646</v>
      </c>
      <c r="AZ23" s="59" t="s">
        <v>662</v>
      </c>
      <c r="BB23" s="36">
        <f t="shared" si="17"/>
        <v>0</v>
      </c>
      <c r="BC23" s="36">
        <f t="shared" si="18"/>
        <v>0</v>
      </c>
      <c r="BD23" s="36">
        <v>0</v>
      </c>
      <c r="BE23" s="36">
        <f>23</f>
        <v>23</v>
      </c>
      <c r="BG23" s="54">
        <f t="shared" si="19"/>
        <v>0</v>
      </c>
      <c r="BH23" s="54">
        <f t="shared" si="20"/>
        <v>0</v>
      </c>
      <c r="BI23" s="54">
        <f t="shared" si="21"/>
        <v>0</v>
      </c>
    </row>
    <row r="24" spans="3:5" ht="12.75">
      <c r="C24" s="164" t="s">
        <v>419</v>
      </c>
      <c r="D24" s="165"/>
      <c r="E24" s="165"/>
    </row>
    <row r="25" spans="1:61" ht="12.75">
      <c r="A25" s="44" t="s">
        <v>122</v>
      </c>
      <c r="B25" s="44" t="s">
        <v>259</v>
      </c>
      <c r="C25" s="160" t="s">
        <v>420</v>
      </c>
      <c r="D25" s="161"/>
      <c r="E25" s="161"/>
      <c r="F25" s="44" t="s">
        <v>595</v>
      </c>
      <c r="G25" s="54">
        <v>3.6</v>
      </c>
      <c r="H25" s="54">
        <v>0</v>
      </c>
      <c r="I25" s="54">
        <f>G25*AN25</f>
        <v>0</v>
      </c>
      <c r="J25" s="54">
        <f>G25*AO25</f>
        <v>0</v>
      </c>
      <c r="K25" s="54">
        <f>G25*H25</f>
        <v>0</v>
      </c>
      <c r="Y25" s="36">
        <f>IF(AP25="5",BI25,0)</f>
        <v>0</v>
      </c>
      <c r="AA25" s="36">
        <f>IF(AP25="1",BG25,0)</f>
        <v>0</v>
      </c>
      <c r="AB25" s="36">
        <f>IF(AP25="1",BH25,0)</f>
        <v>0</v>
      </c>
      <c r="AC25" s="36">
        <f>IF(AP25="7",BG25,0)</f>
        <v>0</v>
      </c>
      <c r="AD25" s="36">
        <f>IF(AP25="7",BH25,0)</f>
        <v>0</v>
      </c>
      <c r="AE25" s="36">
        <f>IF(AP25="2",BG25,0)</f>
        <v>0</v>
      </c>
      <c r="AF25" s="36">
        <f>IF(AP25="2",BH25,0)</f>
        <v>0</v>
      </c>
      <c r="AG25" s="36">
        <f>IF(AP25="0",BI25,0)</f>
        <v>0</v>
      </c>
      <c r="AH25" s="59" t="s">
        <v>71</v>
      </c>
      <c r="AI25" s="54">
        <f>IF(AM25=0,K25,0)</f>
        <v>0</v>
      </c>
      <c r="AJ25" s="54">
        <f>IF(AM25=15,K25,0)</f>
        <v>0</v>
      </c>
      <c r="AK25" s="54">
        <f>IF(AM25=21,K25,0)</f>
        <v>0</v>
      </c>
      <c r="AM25" s="36">
        <v>21</v>
      </c>
      <c r="AN25" s="36">
        <f>H25*0.346245791245791</f>
        <v>0</v>
      </c>
      <c r="AO25" s="36">
        <f>H25*(1-0.346245791245791)</f>
        <v>0</v>
      </c>
      <c r="AP25" s="60" t="s">
        <v>117</v>
      </c>
      <c r="AU25" s="36">
        <f>AV25+AW25</f>
        <v>0</v>
      </c>
      <c r="AV25" s="36">
        <f>G25*AN25</f>
        <v>0</v>
      </c>
      <c r="AW25" s="36">
        <f>G25*AO25</f>
        <v>0</v>
      </c>
      <c r="AX25" s="62" t="s">
        <v>618</v>
      </c>
      <c r="AY25" s="62" t="s">
        <v>646</v>
      </c>
      <c r="AZ25" s="59" t="s">
        <v>662</v>
      </c>
      <c r="BB25" s="36">
        <f>AV25+AW25</f>
        <v>0</v>
      </c>
      <c r="BC25" s="36">
        <f>H25/(100-BD25)*100</f>
        <v>0</v>
      </c>
      <c r="BD25" s="36">
        <v>0</v>
      </c>
      <c r="BE25" s="36">
        <f>25</f>
        <v>25</v>
      </c>
      <c r="BG25" s="54">
        <f>G25*AN25</f>
        <v>0</v>
      </c>
      <c r="BH25" s="54">
        <f>G25*AO25</f>
        <v>0</v>
      </c>
      <c r="BI25" s="54">
        <f>G25*H25</f>
        <v>0</v>
      </c>
    </row>
    <row r="26" spans="1:61" ht="12.75">
      <c r="A26" s="44" t="s">
        <v>123</v>
      </c>
      <c r="B26" s="44" t="s">
        <v>251</v>
      </c>
      <c r="C26" s="160" t="s">
        <v>410</v>
      </c>
      <c r="D26" s="161"/>
      <c r="E26" s="161"/>
      <c r="F26" s="44" t="s">
        <v>592</v>
      </c>
      <c r="G26" s="54">
        <v>4.35</v>
      </c>
      <c r="H26" s="54">
        <v>0</v>
      </c>
      <c r="I26" s="54">
        <f>G26*AN26</f>
        <v>0</v>
      </c>
      <c r="J26" s="54">
        <f>G26*AO26</f>
        <v>0</v>
      </c>
      <c r="K26" s="54">
        <f>G26*H26</f>
        <v>0</v>
      </c>
      <c r="Y26" s="36">
        <f>IF(AP26="5",BI26,0)</f>
        <v>0</v>
      </c>
      <c r="AA26" s="36">
        <f>IF(AP26="1",BG26,0)</f>
        <v>0</v>
      </c>
      <c r="AB26" s="36">
        <f>IF(AP26="1",BH26,0)</f>
        <v>0</v>
      </c>
      <c r="AC26" s="36">
        <f>IF(AP26="7",BG26,0)</f>
        <v>0</v>
      </c>
      <c r="AD26" s="36">
        <f>IF(AP26="7",BH26,0)</f>
        <v>0</v>
      </c>
      <c r="AE26" s="36">
        <f>IF(AP26="2",BG26,0)</f>
        <v>0</v>
      </c>
      <c r="AF26" s="36">
        <f>IF(AP26="2",BH26,0)</f>
        <v>0</v>
      </c>
      <c r="AG26" s="36">
        <f>IF(AP26="0",BI26,0)</f>
        <v>0</v>
      </c>
      <c r="AH26" s="59" t="s">
        <v>71</v>
      </c>
      <c r="AI26" s="54">
        <f>IF(AM26=0,K26,0)</f>
        <v>0</v>
      </c>
      <c r="AJ26" s="54">
        <f>IF(AM26=15,K26,0)</f>
        <v>0</v>
      </c>
      <c r="AK26" s="54">
        <f>IF(AM26=21,K26,0)</f>
        <v>0</v>
      </c>
      <c r="AM26" s="36">
        <v>21</v>
      </c>
      <c r="AN26" s="36">
        <f>H26*0</f>
        <v>0</v>
      </c>
      <c r="AO26" s="36">
        <f>H26*(1-0)</f>
        <v>0</v>
      </c>
      <c r="AP26" s="60" t="s">
        <v>120</v>
      </c>
      <c r="AU26" s="36">
        <f>AV26+AW26</f>
        <v>0</v>
      </c>
      <c r="AV26" s="36">
        <f>G26*AN26</f>
        <v>0</v>
      </c>
      <c r="AW26" s="36">
        <f>G26*AO26</f>
        <v>0</v>
      </c>
      <c r="AX26" s="62" t="s">
        <v>618</v>
      </c>
      <c r="AY26" s="62" t="s">
        <v>646</v>
      </c>
      <c r="AZ26" s="59" t="s">
        <v>662</v>
      </c>
      <c r="BB26" s="36">
        <f>AV26+AW26</f>
        <v>0</v>
      </c>
      <c r="BC26" s="36">
        <f>H26/(100-BD26)*100</f>
        <v>0</v>
      </c>
      <c r="BD26" s="36">
        <v>0</v>
      </c>
      <c r="BE26" s="36">
        <f>26</f>
        <v>26</v>
      </c>
      <c r="BG26" s="54">
        <f>G26*AN26</f>
        <v>0</v>
      </c>
      <c r="BH26" s="54">
        <f>G26*AO26</f>
        <v>0</v>
      </c>
      <c r="BI26" s="54">
        <f>G26*H26</f>
        <v>0</v>
      </c>
    </row>
    <row r="27" spans="1:46" ht="12.75">
      <c r="A27" s="43"/>
      <c r="B27" s="51" t="s">
        <v>173</v>
      </c>
      <c r="C27" s="158" t="s">
        <v>421</v>
      </c>
      <c r="D27" s="159"/>
      <c r="E27" s="159"/>
      <c r="F27" s="43" t="s">
        <v>69</v>
      </c>
      <c r="G27" s="43" t="s">
        <v>69</v>
      </c>
      <c r="H27" s="43" t="s">
        <v>69</v>
      </c>
      <c r="I27" s="64">
        <f>SUM(I28:I31)</f>
        <v>0</v>
      </c>
      <c r="J27" s="64">
        <f>SUM(J28:J31)</f>
        <v>0</v>
      </c>
      <c r="K27" s="64">
        <f>SUM(K28:K31)</f>
        <v>0</v>
      </c>
      <c r="AH27" s="59" t="s">
        <v>71</v>
      </c>
      <c r="AR27" s="64">
        <f>SUM(AI28:AI31)</f>
        <v>0</v>
      </c>
      <c r="AS27" s="64">
        <f>SUM(AJ28:AJ31)</f>
        <v>0</v>
      </c>
      <c r="AT27" s="64">
        <f>SUM(AK28:AK31)</f>
        <v>0</v>
      </c>
    </row>
    <row r="28" spans="1:61" ht="12.75">
      <c r="A28" s="44" t="s">
        <v>124</v>
      </c>
      <c r="B28" s="44" t="s">
        <v>260</v>
      </c>
      <c r="C28" s="160" t="s">
        <v>422</v>
      </c>
      <c r="D28" s="161"/>
      <c r="E28" s="161"/>
      <c r="F28" s="44" t="s">
        <v>595</v>
      </c>
      <c r="G28" s="54">
        <v>32</v>
      </c>
      <c r="H28" s="54">
        <v>0</v>
      </c>
      <c r="I28" s="54">
        <f>G28*AN28</f>
        <v>0</v>
      </c>
      <c r="J28" s="54">
        <f>G28*AO28</f>
        <v>0</v>
      </c>
      <c r="K28" s="54">
        <f>G28*H28</f>
        <v>0</v>
      </c>
      <c r="Y28" s="36">
        <f>IF(AP28="5",BI28,0)</f>
        <v>0</v>
      </c>
      <c r="AA28" s="36">
        <f>IF(AP28="1",BG28,0)</f>
        <v>0</v>
      </c>
      <c r="AB28" s="36">
        <f>IF(AP28="1",BH28,0)</f>
        <v>0</v>
      </c>
      <c r="AC28" s="36">
        <f>IF(AP28="7",BG28,0)</f>
        <v>0</v>
      </c>
      <c r="AD28" s="36">
        <f>IF(AP28="7",BH28,0)</f>
        <v>0</v>
      </c>
      <c r="AE28" s="36">
        <f>IF(AP28="2",BG28,0)</f>
        <v>0</v>
      </c>
      <c r="AF28" s="36">
        <f>IF(AP28="2",BH28,0)</f>
        <v>0</v>
      </c>
      <c r="AG28" s="36">
        <f>IF(AP28="0",BI28,0)</f>
        <v>0</v>
      </c>
      <c r="AH28" s="59" t="s">
        <v>71</v>
      </c>
      <c r="AI28" s="54">
        <f>IF(AM28=0,K28,0)</f>
        <v>0</v>
      </c>
      <c r="AJ28" s="54">
        <f>IF(AM28=15,K28,0)</f>
        <v>0</v>
      </c>
      <c r="AK28" s="54">
        <f>IF(AM28=21,K28,0)</f>
        <v>0</v>
      </c>
      <c r="AM28" s="36">
        <v>21</v>
      </c>
      <c r="AN28" s="36">
        <f>H28*0.293421052631579</f>
        <v>0</v>
      </c>
      <c r="AO28" s="36">
        <f>H28*(1-0.293421052631579)</f>
        <v>0</v>
      </c>
      <c r="AP28" s="60" t="s">
        <v>117</v>
      </c>
      <c r="AU28" s="36">
        <f>AV28+AW28</f>
        <v>0</v>
      </c>
      <c r="AV28" s="36">
        <f>G28*AN28</f>
        <v>0</v>
      </c>
      <c r="AW28" s="36">
        <f>G28*AO28</f>
        <v>0</v>
      </c>
      <c r="AX28" s="62" t="s">
        <v>619</v>
      </c>
      <c r="AY28" s="62" t="s">
        <v>647</v>
      </c>
      <c r="AZ28" s="59" t="s">
        <v>662</v>
      </c>
      <c r="BB28" s="36">
        <f>AV28+AW28</f>
        <v>0</v>
      </c>
      <c r="BC28" s="36">
        <f>H28/(100-BD28)*100</f>
        <v>0</v>
      </c>
      <c r="BD28" s="36">
        <v>0</v>
      </c>
      <c r="BE28" s="36">
        <f>28</f>
        <v>28</v>
      </c>
      <c r="BG28" s="54">
        <f>G28*AN28</f>
        <v>0</v>
      </c>
      <c r="BH28" s="54">
        <f>G28*AO28</f>
        <v>0</v>
      </c>
      <c r="BI28" s="54">
        <f>G28*H28</f>
        <v>0</v>
      </c>
    </row>
    <row r="29" spans="1:61" ht="12.75">
      <c r="A29" s="44" t="s">
        <v>125</v>
      </c>
      <c r="B29" s="44" t="s">
        <v>261</v>
      </c>
      <c r="C29" s="160" t="s">
        <v>423</v>
      </c>
      <c r="D29" s="161"/>
      <c r="E29" s="161"/>
      <c r="F29" s="44" t="s">
        <v>595</v>
      </c>
      <c r="G29" s="54">
        <v>54.22</v>
      </c>
      <c r="H29" s="54">
        <v>0</v>
      </c>
      <c r="I29" s="54">
        <f>G29*AN29</f>
        <v>0</v>
      </c>
      <c r="J29" s="54">
        <f>G29*AO29</f>
        <v>0</v>
      </c>
      <c r="K29" s="54">
        <f>G29*H29</f>
        <v>0</v>
      </c>
      <c r="Y29" s="36">
        <f>IF(AP29="5",BI29,0)</f>
        <v>0</v>
      </c>
      <c r="AA29" s="36">
        <f>IF(AP29="1",BG29,0)</f>
        <v>0</v>
      </c>
      <c r="AB29" s="36">
        <f>IF(AP29="1",BH29,0)</f>
        <v>0</v>
      </c>
      <c r="AC29" s="36">
        <f>IF(AP29="7",BG29,0)</f>
        <v>0</v>
      </c>
      <c r="AD29" s="36">
        <f>IF(AP29="7",BH29,0)</f>
        <v>0</v>
      </c>
      <c r="AE29" s="36">
        <f>IF(AP29="2",BG29,0)</f>
        <v>0</v>
      </c>
      <c r="AF29" s="36">
        <f>IF(AP29="2",BH29,0)</f>
        <v>0</v>
      </c>
      <c r="AG29" s="36">
        <f>IF(AP29="0",BI29,0)</f>
        <v>0</v>
      </c>
      <c r="AH29" s="59" t="s">
        <v>71</v>
      </c>
      <c r="AI29" s="54">
        <f>IF(AM29=0,K29,0)</f>
        <v>0</v>
      </c>
      <c r="AJ29" s="54">
        <f>IF(AM29=15,K29,0)</f>
        <v>0</v>
      </c>
      <c r="AK29" s="54">
        <f>IF(AM29=21,K29,0)</f>
        <v>0</v>
      </c>
      <c r="AM29" s="36">
        <v>21</v>
      </c>
      <c r="AN29" s="36">
        <f>H29*0.202269382483258</f>
        <v>0</v>
      </c>
      <c r="AO29" s="36">
        <f>H29*(1-0.202269382483258)</f>
        <v>0</v>
      </c>
      <c r="AP29" s="60" t="s">
        <v>117</v>
      </c>
      <c r="AU29" s="36">
        <f>AV29+AW29</f>
        <v>0</v>
      </c>
      <c r="AV29" s="36">
        <f>G29*AN29</f>
        <v>0</v>
      </c>
      <c r="AW29" s="36">
        <f>G29*AO29</f>
        <v>0</v>
      </c>
      <c r="AX29" s="62" t="s">
        <v>619</v>
      </c>
      <c r="AY29" s="62" t="s">
        <v>647</v>
      </c>
      <c r="AZ29" s="59" t="s">
        <v>662</v>
      </c>
      <c r="BB29" s="36">
        <f>AV29+AW29</f>
        <v>0</v>
      </c>
      <c r="BC29" s="36">
        <f>H29/(100-BD29)*100</f>
        <v>0</v>
      </c>
      <c r="BD29" s="36">
        <v>0</v>
      </c>
      <c r="BE29" s="36">
        <f>29</f>
        <v>29</v>
      </c>
      <c r="BG29" s="54">
        <f>G29*AN29</f>
        <v>0</v>
      </c>
      <c r="BH29" s="54">
        <f>G29*AO29</f>
        <v>0</v>
      </c>
      <c r="BI29" s="54">
        <f>G29*H29</f>
        <v>0</v>
      </c>
    </row>
    <row r="30" spans="3:5" ht="12.75">
      <c r="C30" s="164" t="s">
        <v>424</v>
      </c>
      <c r="D30" s="165"/>
      <c r="E30" s="165"/>
    </row>
    <row r="31" spans="1:61" ht="12.75">
      <c r="A31" s="44" t="s">
        <v>126</v>
      </c>
      <c r="B31" s="44" t="s">
        <v>251</v>
      </c>
      <c r="C31" s="160" t="s">
        <v>410</v>
      </c>
      <c r="D31" s="161"/>
      <c r="E31" s="161"/>
      <c r="F31" s="44" t="s">
        <v>592</v>
      </c>
      <c r="G31" s="54">
        <v>0.89</v>
      </c>
      <c r="H31" s="54">
        <v>0</v>
      </c>
      <c r="I31" s="54">
        <f>G31*AN31</f>
        <v>0</v>
      </c>
      <c r="J31" s="54">
        <f>G31*AO31</f>
        <v>0</v>
      </c>
      <c r="K31" s="54">
        <f>G31*H31</f>
        <v>0</v>
      </c>
      <c r="Y31" s="36">
        <f>IF(AP31="5",BI31,0)</f>
        <v>0</v>
      </c>
      <c r="AA31" s="36">
        <f>IF(AP31="1",BG31,0)</f>
        <v>0</v>
      </c>
      <c r="AB31" s="36">
        <f>IF(AP31="1",BH31,0)</f>
        <v>0</v>
      </c>
      <c r="AC31" s="36">
        <f>IF(AP31="7",BG31,0)</f>
        <v>0</v>
      </c>
      <c r="AD31" s="36">
        <f>IF(AP31="7",BH31,0)</f>
        <v>0</v>
      </c>
      <c r="AE31" s="36">
        <f>IF(AP31="2",BG31,0)</f>
        <v>0</v>
      </c>
      <c r="AF31" s="36">
        <f>IF(AP31="2",BH31,0)</f>
        <v>0</v>
      </c>
      <c r="AG31" s="36">
        <f>IF(AP31="0",BI31,0)</f>
        <v>0</v>
      </c>
      <c r="AH31" s="59" t="s">
        <v>71</v>
      </c>
      <c r="AI31" s="54">
        <f>IF(AM31=0,K31,0)</f>
        <v>0</v>
      </c>
      <c r="AJ31" s="54">
        <f>IF(AM31=15,K31,0)</f>
        <v>0</v>
      </c>
      <c r="AK31" s="54">
        <f>IF(AM31=21,K31,0)</f>
        <v>0</v>
      </c>
      <c r="AM31" s="36">
        <v>21</v>
      </c>
      <c r="AN31" s="36">
        <f>H31*0</f>
        <v>0</v>
      </c>
      <c r="AO31" s="36">
        <f>H31*(1-0)</f>
        <v>0</v>
      </c>
      <c r="AP31" s="60" t="s">
        <v>120</v>
      </c>
      <c r="AU31" s="36">
        <f>AV31+AW31</f>
        <v>0</v>
      </c>
      <c r="AV31" s="36">
        <f>G31*AN31</f>
        <v>0</v>
      </c>
      <c r="AW31" s="36">
        <f>G31*AO31</f>
        <v>0</v>
      </c>
      <c r="AX31" s="62" t="s">
        <v>619</v>
      </c>
      <c r="AY31" s="62" t="s">
        <v>647</v>
      </c>
      <c r="AZ31" s="59" t="s">
        <v>662</v>
      </c>
      <c r="BB31" s="36">
        <f>AV31+AW31</f>
        <v>0</v>
      </c>
      <c r="BC31" s="36">
        <f>H31/(100-BD31)*100</f>
        <v>0</v>
      </c>
      <c r="BD31" s="36">
        <v>0</v>
      </c>
      <c r="BE31" s="36">
        <f>31</f>
        <v>31</v>
      </c>
      <c r="BG31" s="54">
        <f>G31*AN31</f>
        <v>0</v>
      </c>
      <c r="BH31" s="54">
        <f>G31*AO31</f>
        <v>0</v>
      </c>
      <c r="BI31" s="54">
        <f>G31*H31</f>
        <v>0</v>
      </c>
    </row>
    <row r="32" spans="1:46" ht="12.75">
      <c r="A32" s="43"/>
      <c r="B32" s="51" t="s">
        <v>175</v>
      </c>
      <c r="C32" s="158" t="s">
        <v>425</v>
      </c>
      <c r="D32" s="159"/>
      <c r="E32" s="159"/>
      <c r="F32" s="43" t="s">
        <v>69</v>
      </c>
      <c r="G32" s="43" t="s">
        <v>69</v>
      </c>
      <c r="H32" s="43" t="s">
        <v>69</v>
      </c>
      <c r="I32" s="64">
        <f>SUM(I33:I38)</f>
        <v>0</v>
      </c>
      <c r="J32" s="64">
        <f>SUM(J33:J38)</f>
        <v>0</v>
      </c>
      <c r="K32" s="64">
        <f>SUM(K33:K38)</f>
        <v>0</v>
      </c>
      <c r="AH32" s="59" t="s">
        <v>71</v>
      </c>
      <c r="AR32" s="64">
        <f>SUM(AI33:AI38)</f>
        <v>0</v>
      </c>
      <c r="AS32" s="64">
        <f>SUM(AJ33:AJ38)</f>
        <v>0</v>
      </c>
      <c r="AT32" s="64">
        <f>SUM(AK33:AK38)</f>
        <v>0</v>
      </c>
    </row>
    <row r="33" spans="1:61" ht="12.75">
      <c r="A33" s="44" t="s">
        <v>127</v>
      </c>
      <c r="B33" s="44" t="s">
        <v>262</v>
      </c>
      <c r="C33" s="160" t="s">
        <v>426</v>
      </c>
      <c r="D33" s="161"/>
      <c r="E33" s="161"/>
      <c r="F33" s="44" t="s">
        <v>591</v>
      </c>
      <c r="G33" s="54">
        <v>5.26</v>
      </c>
      <c r="H33" s="54">
        <v>0</v>
      </c>
      <c r="I33" s="54">
        <f>G33*AN33</f>
        <v>0</v>
      </c>
      <c r="J33" s="54">
        <f>G33*AO33</f>
        <v>0</v>
      </c>
      <c r="K33" s="54">
        <f>G33*H33</f>
        <v>0</v>
      </c>
      <c r="Y33" s="36">
        <f>IF(AP33="5",BI33,0)</f>
        <v>0</v>
      </c>
      <c r="AA33" s="36">
        <f>IF(AP33="1",BG33,0)</f>
        <v>0</v>
      </c>
      <c r="AB33" s="36">
        <f>IF(AP33="1",BH33,0)</f>
        <v>0</v>
      </c>
      <c r="AC33" s="36">
        <f>IF(AP33="7",BG33,0)</f>
        <v>0</v>
      </c>
      <c r="AD33" s="36">
        <f>IF(AP33="7",BH33,0)</f>
        <v>0</v>
      </c>
      <c r="AE33" s="36">
        <f>IF(AP33="2",BG33,0)</f>
        <v>0</v>
      </c>
      <c r="AF33" s="36">
        <f>IF(AP33="2",BH33,0)</f>
        <v>0</v>
      </c>
      <c r="AG33" s="36">
        <f>IF(AP33="0",BI33,0)</f>
        <v>0</v>
      </c>
      <c r="AH33" s="59" t="s">
        <v>71</v>
      </c>
      <c r="AI33" s="54">
        <f>IF(AM33=0,K33,0)</f>
        <v>0</v>
      </c>
      <c r="AJ33" s="54">
        <f>IF(AM33=15,K33,0)</f>
        <v>0</v>
      </c>
      <c r="AK33" s="54">
        <f>IF(AM33=21,K33,0)</f>
        <v>0</v>
      </c>
      <c r="AM33" s="36">
        <v>21</v>
      </c>
      <c r="AN33" s="36">
        <f>H33*0.697085212189194</f>
        <v>0</v>
      </c>
      <c r="AO33" s="36">
        <f>H33*(1-0.697085212189194)</f>
        <v>0</v>
      </c>
      <c r="AP33" s="60" t="s">
        <v>117</v>
      </c>
      <c r="AU33" s="36">
        <f>AV33+AW33</f>
        <v>0</v>
      </c>
      <c r="AV33" s="36">
        <f>G33*AN33</f>
        <v>0</v>
      </c>
      <c r="AW33" s="36">
        <f>G33*AO33</f>
        <v>0</v>
      </c>
      <c r="AX33" s="62" t="s">
        <v>620</v>
      </c>
      <c r="AY33" s="62" t="s">
        <v>647</v>
      </c>
      <c r="AZ33" s="59" t="s">
        <v>662</v>
      </c>
      <c r="BB33" s="36">
        <f>AV33+AW33</f>
        <v>0</v>
      </c>
      <c r="BC33" s="36">
        <f>H33/(100-BD33)*100</f>
        <v>0</v>
      </c>
      <c r="BD33" s="36">
        <v>0</v>
      </c>
      <c r="BE33" s="36">
        <f>33</f>
        <v>33</v>
      </c>
      <c r="BG33" s="54">
        <f>G33*AN33</f>
        <v>0</v>
      </c>
      <c r="BH33" s="54">
        <f>G33*AO33</f>
        <v>0</v>
      </c>
      <c r="BI33" s="54">
        <f>G33*H33</f>
        <v>0</v>
      </c>
    </row>
    <row r="34" spans="3:5" ht="12.75">
      <c r="C34" s="164" t="s">
        <v>427</v>
      </c>
      <c r="D34" s="165"/>
      <c r="E34" s="165"/>
    </row>
    <row r="35" spans="1:61" ht="12.75">
      <c r="A35" s="44" t="s">
        <v>128</v>
      </c>
      <c r="B35" s="44" t="s">
        <v>263</v>
      </c>
      <c r="C35" s="160" t="s">
        <v>428</v>
      </c>
      <c r="D35" s="161"/>
      <c r="E35" s="161"/>
      <c r="F35" s="44" t="s">
        <v>595</v>
      </c>
      <c r="G35" s="54">
        <v>52.55</v>
      </c>
      <c r="H35" s="54">
        <v>0</v>
      </c>
      <c r="I35" s="54">
        <f>G35*AN35</f>
        <v>0</v>
      </c>
      <c r="J35" s="54">
        <f>G35*AO35</f>
        <v>0</v>
      </c>
      <c r="K35" s="54">
        <f>G35*H35</f>
        <v>0</v>
      </c>
      <c r="Y35" s="36">
        <f>IF(AP35="5",BI35,0)</f>
        <v>0</v>
      </c>
      <c r="AA35" s="36">
        <f>IF(AP35="1",BG35,0)</f>
        <v>0</v>
      </c>
      <c r="AB35" s="36">
        <f>IF(AP35="1",BH35,0)</f>
        <v>0</v>
      </c>
      <c r="AC35" s="36">
        <f>IF(AP35="7",BG35,0)</f>
        <v>0</v>
      </c>
      <c r="AD35" s="36">
        <f>IF(AP35="7",BH35,0)</f>
        <v>0</v>
      </c>
      <c r="AE35" s="36">
        <f>IF(AP35="2",BG35,0)</f>
        <v>0</v>
      </c>
      <c r="AF35" s="36">
        <f>IF(AP35="2",BH35,0)</f>
        <v>0</v>
      </c>
      <c r="AG35" s="36">
        <f>IF(AP35="0",BI35,0)</f>
        <v>0</v>
      </c>
      <c r="AH35" s="59" t="s">
        <v>71</v>
      </c>
      <c r="AI35" s="54">
        <f>IF(AM35=0,K35,0)</f>
        <v>0</v>
      </c>
      <c r="AJ35" s="54">
        <f>IF(AM35=15,K35,0)</f>
        <v>0</v>
      </c>
      <c r="AK35" s="54">
        <f>IF(AM35=21,K35,0)</f>
        <v>0</v>
      </c>
      <c r="AM35" s="36">
        <v>21</v>
      </c>
      <c r="AN35" s="36">
        <f>H35*0.614332355026789</f>
        <v>0</v>
      </c>
      <c r="AO35" s="36">
        <f>H35*(1-0.614332355026789)</f>
        <v>0</v>
      </c>
      <c r="AP35" s="60" t="s">
        <v>117</v>
      </c>
      <c r="AU35" s="36">
        <f>AV35+AW35</f>
        <v>0</v>
      </c>
      <c r="AV35" s="36">
        <f>G35*AN35</f>
        <v>0</v>
      </c>
      <c r="AW35" s="36">
        <f>G35*AO35</f>
        <v>0</v>
      </c>
      <c r="AX35" s="62" t="s">
        <v>620</v>
      </c>
      <c r="AY35" s="62" t="s">
        <v>647</v>
      </c>
      <c r="AZ35" s="59" t="s">
        <v>662</v>
      </c>
      <c r="BB35" s="36">
        <f>AV35+AW35</f>
        <v>0</v>
      </c>
      <c r="BC35" s="36">
        <f>H35/(100-BD35)*100</f>
        <v>0</v>
      </c>
      <c r="BD35" s="36">
        <v>0</v>
      </c>
      <c r="BE35" s="36">
        <f>35</f>
        <v>35</v>
      </c>
      <c r="BG35" s="54">
        <f>G35*AN35</f>
        <v>0</v>
      </c>
      <c r="BH35" s="54">
        <f>G35*AO35</f>
        <v>0</v>
      </c>
      <c r="BI35" s="54">
        <f>G35*H35</f>
        <v>0</v>
      </c>
    </row>
    <row r="36" spans="3:5" ht="12.75">
      <c r="C36" s="164" t="s">
        <v>429</v>
      </c>
      <c r="D36" s="165"/>
      <c r="E36" s="165"/>
    </row>
    <row r="37" spans="1:61" ht="12.75">
      <c r="A37" s="44" t="s">
        <v>129</v>
      </c>
      <c r="B37" s="44" t="s">
        <v>264</v>
      </c>
      <c r="C37" s="160" t="s">
        <v>430</v>
      </c>
      <c r="D37" s="161"/>
      <c r="E37" s="161"/>
      <c r="F37" s="44" t="s">
        <v>595</v>
      </c>
      <c r="G37" s="54">
        <v>52.55</v>
      </c>
      <c r="H37" s="54">
        <v>0</v>
      </c>
      <c r="I37" s="54">
        <f>G37*AN37</f>
        <v>0</v>
      </c>
      <c r="J37" s="54">
        <f>G37*AO37</f>
        <v>0</v>
      </c>
      <c r="K37" s="54">
        <f>G37*H37</f>
        <v>0</v>
      </c>
      <c r="Y37" s="36">
        <f>IF(AP37="5",BI37,0)</f>
        <v>0</v>
      </c>
      <c r="AA37" s="36">
        <f>IF(AP37="1",BG37,0)</f>
        <v>0</v>
      </c>
      <c r="AB37" s="36">
        <f>IF(AP37="1",BH37,0)</f>
        <v>0</v>
      </c>
      <c r="AC37" s="36">
        <f>IF(AP37="7",BG37,0)</f>
        <v>0</v>
      </c>
      <c r="AD37" s="36">
        <f>IF(AP37="7",BH37,0)</f>
        <v>0</v>
      </c>
      <c r="AE37" s="36">
        <f>IF(AP37="2",BG37,0)</f>
        <v>0</v>
      </c>
      <c r="AF37" s="36">
        <f>IF(AP37="2",BH37,0)</f>
        <v>0</v>
      </c>
      <c r="AG37" s="36">
        <f>IF(AP37="0",BI37,0)</f>
        <v>0</v>
      </c>
      <c r="AH37" s="59" t="s">
        <v>71</v>
      </c>
      <c r="AI37" s="54">
        <f>IF(AM37=0,K37,0)</f>
        <v>0</v>
      </c>
      <c r="AJ37" s="54">
        <f>IF(AM37=15,K37,0)</f>
        <v>0</v>
      </c>
      <c r="AK37" s="54">
        <f>IF(AM37=21,K37,0)</f>
        <v>0</v>
      </c>
      <c r="AM37" s="36">
        <v>21</v>
      </c>
      <c r="AN37" s="36">
        <f>H37*0.475651966786795</f>
        <v>0</v>
      </c>
      <c r="AO37" s="36">
        <f>H37*(1-0.475651966786795)</f>
        <v>0</v>
      </c>
      <c r="AP37" s="60" t="s">
        <v>117</v>
      </c>
      <c r="AU37" s="36">
        <f>AV37+AW37</f>
        <v>0</v>
      </c>
      <c r="AV37" s="36">
        <f>G37*AN37</f>
        <v>0</v>
      </c>
      <c r="AW37" s="36">
        <f>G37*AO37</f>
        <v>0</v>
      </c>
      <c r="AX37" s="62" t="s">
        <v>620</v>
      </c>
      <c r="AY37" s="62" t="s">
        <v>647</v>
      </c>
      <c r="AZ37" s="59" t="s">
        <v>662</v>
      </c>
      <c r="BB37" s="36">
        <f>AV37+AW37</f>
        <v>0</v>
      </c>
      <c r="BC37" s="36">
        <f>H37/(100-BD37)*100</f>
        <v>0</v>
      </c>
      <c r="BD37" s="36">
        <v>0</v>
      </c>
      <c r="BE37" s="36">
        <f>37</f>
        <v>37</v>
      </c>
      <c r="BG37" s="54">
        <f>G37*AN37</f>
        <v>0</v>
      </c>
      <c r="BH37" s="54">
        <f>G37*AO37</f>
        <v>0</v>
      </c>
      <c r="BI37" s="54">
        <f>G37*H37</f>
        <v>0</v>
      </c>
    </row>
    <row r="38" spans="1:61" ht="12.75">
      <c r="A38" s="44" t="s">
        <v>130</v>
      </c>
      <c r="B38" s="44" t="s">
        <v>251</v>
      </c>
      <c r="C38" s="160" t="s">
        <v>410</v>
      </c>
      <c r="D38" s="161"/>
      <c r="E38" s="161"/>
      <c r="F38" s="44" t="s">
        <v>592</v>
      </c>
      <c r="G38" s="54">
        <v>19.17</v>
      </c>
      <c r="H38" s="54">
        <v>0</v>
      </c>
      <c r="I38" s="54">
        <f>G38*AN38</f>
        <v>0</v>
      </c>
      <c r="J38" s="54">
        <f>G38*AO38</f>
        <v>0</v>
      </c>
      <c r="K38" s="54">
        <f>G38*H38</f>
        <v>0</v>
      </c>
      <c r="Y38" s="36">
        <f>IF(AP38="5",BI38,0)</f>
        <v>0</v>
      </c>
      <c r="AA38" s="36">
        <f>IF(AP38="1",BG38,0)</f>
        <v>0</v>
      </c>
      <c r="AB38" s="36">
        <f>IF(AP38="1",BH38,0)</f>
        <v>0</v>
      </c>
      <c r="AC38" s="36">
        <f>IF(AP38="7",BG38,0)</f>
        <v>0</v>
      </c>
      <c r="AD38" s="36">
        <f>IF(AP38="7",BH38,0)</f>
        <v>0</v>
      </c>
      <c r="AE38" s="36">
        <f>IF(AP38="2",BG38,0)</f>
        <v>0</v>
      </c>
      <c r="AF38" s="36">
        <f>IF(AP38="2",BH38,0)</f>
        <v>0</v>
      </c>
      <c r="AG38" s="36">
        <f>IF(AP38="0",BI38,0)</f>
        <v>0</v>
      </c>
      <c r="AH38" s="59" t="s">
        <v>71</v>
      </c>
      <c r="AI38" s="54">
        <f>IF(AM38=0,K38,0)</f>
        <v>0</v>
      </c>
      <c r="AJ38" s="54">
        <f>IF(AM38=15,K38,0)</f>
        <v>0</v>
      </c>
      <c r="AK38" s="54">
        <f>IF(AM38=21,K38,0)</f>
        <v>0</v>
      </c>
      <c r="AM38" s="36">
        <v>21</v>
      </c>
      <c r="AN38" s="36">
        <f>H38*0</f>
        <v>0</v>
      </c>
      <c r="AO38" s="36">
        <f>H38*(1-0)</f>
        <v>0</v>
      </c>
      <c r="AP38" s="60" t="s">
        <v>120</v>
      </c>
      <c r="AU38" s="36">
        <f>AV38+AW38</f>
        <v>0</v>
      </c>
      <c r="AV38" s="36">
        <f>G38*AN38</f>
        <v>0</v>
      </c>
      <c r="AW38" s="36">
        <f>G38*AO38</f>
        <v>0</v>
      </c>
      <c r="AX38" s="62" t="s">
        <v>620</v>
      </c>
      <c r="AY38" s="62" t="s">
        <v>647</v>
      </c>
      <c r="AZ38" s="59" t="s">
        <v>662</v>
      </c>
      <c r="BB38" s="36">
        <f>AV38+AW38</f>
        <v>0</v>
      </c>
      <c r="BC38" s="36">
        <f>H38/(100-BD38)*100</f>
        <v>0</v>
      </c>
      <c r="BD38" s="36">
        <v>0</v>
      </c>
      <c r="BE38" s="36">
        <f>38</f>
        <v>38</v>
      </c>
      <c r="BG38" s="54">
        <f>G38*AN38</f>
        <v>0</v>
      </c>
      <c r="BH38" s="54">
        <f>G38*AO38</f>
        <v>0</v>
      </c>
      <c r="BI38" s="54">
        <f>G38*H38</f>
        <v>0</v>
      </c>
    </row>
    <row r="39" spans="1:46" ht="12.75">
      <c r="A39" s="43"/>
      <c r="B39" s="51" t="s">
        <v>176</v>
      </c>
      <c r="C39" s="158" t="s">
        <v>431</v>
      </c>
      <c r="D39" s="159"/>
      <c r="E39" s="159"/>
      <c r="F39" s="43" t="s">
        <v>69</v>
      </c>
      <c r="G39" s="43" t="s">
        <v>69</v>
      </c>
      <c r="H39" s="43" t="s">
        <v>69</v>
      </c>
      <c r="I39" s="64">
        <f>SUM(I40:I42)</f>
        <v>0</v>
      </c>
      <c r="J39" s="64">
        <f>SUM(J40:J42)</f>
        <v>0</v>
      </c>
      <c r="K39" s="64">
        <f>SUM(K40:K42)</f>
        <v>0</v>
      </c>
      <c r="AH39" s="59" t="s">
        <v>71</v>
      </c>
      <c r="AR39" s="64">
        <f>SUM(AI40:AI42)</f>
        <v>0</v>
      </c>
      <c r="AS39" s="64">
        <f>SUM(AJ40:AJ42)</f>
        <v>0</v>
      </c>
      <c r="AT39" s="64">
        <f>SUM(AK40:AK42)</f>
        <v>0</v>
      </c>
    </row>
    <row r="40" spans="1:61" ht="12.75">
      <c r="A40" s="44" t="s">
        <v>131</v>
      </c>
      <c r="B40" s="44" t="s">
        <v>265</v>
      </c>
      <c r="C40" s="160" t="s">
        <v>432</v>
      </c>
      <c r="D40" s="161"/>
      <c r="E40" s="161"/>
      <c r="F40" s="44" t="s">
        <v>594</v>
      </c>
      <c r="G40" s="54">
        <v>1</v>
      </c>
      <c r="H40" s="54">
        <v>0</v>
      </c>
      <c r="I40" s="54">
        <f>G40*AN40</f>
        <v>0</v>
      </c>
      <c r="J40" s="54">
        <f>G40*AO40</f>
        <v>0</v>
      </c>
      <c r="K40" s="54">
        <f>G40*H40</f>
        <v>0</v>
      </c>
      <c r="Y40" s="36">
        <f>IF(AP40="5",BI40,0)</f>
        <v>0</v>
      </c>
      <c r="AA40" s="36">
        <f>IF(AP40="1",BG40,0)</f>
        <v>0</v>
      </c>
      <c r="AB40" s="36">
        <f>IF(AP40="1",BH40,0)</f>
        <v>0</v>
      </c>
      <c r="AC40" s="36">
        <f>IF(AP40="7",BG40,0)</f>
        <v>0</v>
      </c>
      <c r="AD40" s="36">
        <f>IF(AP40="7",BH40,0)</f>
        <v>0</v>
      </c>
      <c r="AE40" s="36">
        <f>IF(AP40="2",BG40,0)</f>
        <v>0</v>
      </c>
      <c r="AF40" s="36">
        <f>IF(AP40="2",BH40,0)</f>
        <v>0</v>
      </c>
      <c r="AG40" s="36">
        <f>IF(AP40="0",BI40,0)</f>
        <v>0</v>
      </c>
      <c r="AH40" s="59" t="s">
        <v>71</v>
      </c>
      <c r="AI40" s="54">
        <f>IF(AM40=0,K40,0)</f>
        <v>0</v>
      </c>
      <c r="AJ40" s="54">
        <f>IF(AM40=15,K40,0)</f>
        <v>0</v>
      </c>
      <c r="AK40" s="54">
        <f>IF(AM40=21,K40,0)</f>
        <v>0</v>
      </c>
      <c r="AM40" s="36">
        <v>21</v>
      </c>
      <c r="AN40" s="36">
        <f>H40*0.514782359679267</f>
        <v>0</v>
      </c>
      <c r="AO40" s="36">
        <f>H40*(1-0.514782359679267)</f>
        <v>0</v>
      </c>
      <c r="AP40" s="60" t="s">
        <v>117</v>
      </c>
      <c r="AU40" s="36">
        <f>AV40+AW40</f>
        <v>0</v>
      </c>
      <c r="AV40" s="36">
        <f>G40*AN40</f>
        <v>0</v>
      </c>
      <c r="AW40" s="36">
        <f>G40*AO40</f>
        <v>0</v>
      </c>
      <c r="AX40" s="62" t="s">
        <v>621</v>
      </c>
      <c r="AY40" s="62" t="s">
        <v>647</v>
      </c>
      <c r="AZ40" s="59" t="s">
        <v>662</v>
      </c>
      <c r="BB40" s="36">
        <f>AV40+AW40</f>
        <v>0</v>
      </c>
      <c r="BC40" s="36">
        <f>H40/(100-BD40)*100</f>
        <v>0</v>
      </c>
      <c r="BD40" s="36">
        <v>0</v>
      </c>
      <c r="BE40" s="36">
        <f>40</f>
        <v>40</v>
      </c>
      <c r="BG40" s="54">
        <f>G40*AN40</f>
        <v>0</v>
      </c>
      <c r="BH40" s="54">
        <f>G40*AO40</f>
        <v>0</v>
      </c>
      <c r="BI40" s="54">
        <f>G40*H40</f>
        <v>0</v>
      </c>
    </row>
    <row r="41" spans="3:5" ht="12.75">
      <c r="C41" s="164" t="s">
        <v>433</v>
      </c>
      <c r="D41" s="165"/>
      <c r="E41" s="165"/>
    </row>
    <row r="42" spans="1:61" ht="12.75">
      <c r="A42" s="44" t="s">
        <v>132</v>
      </c>
      <c r="B42" s="44" t="s">
        <v>251</v>
      </c>
      <c r="C42" s="160" t="s">
        <v>410</v>
      </c>
      <c r="D42" s="161"/>
      <c r="E42" s="161"/>
      <c r="F42" s="44" t="s">
        <v>592</v>
      </c>
      <c r="G42" s="54">
        <v>0.03</v>
      </c>
      <c r="H42" s="54">
        <v>0</v>
      </c>
      <c r="I42" s="54">
        <f>G42*AN42</f>
        <v>0</v>
      </c>
      <c r="J42" s="54">
        <f>G42*AO42</f>
        <v>0</v>
      </c>
      <c r="K42" s="54">
        <f>G42*H42</f>
        <v>0</v>
      </c>
      <c r="Y42" s="36">
        <f>IF(AP42="5",BI42,0)</f>
        <v>0</v>
      </c>
      <c r="AA42" s="36">
        <f>IF(AP42="1",BG42,0)</f>
        <v>0</v>
      </c>
      <c r="AB42" s="36">
        <f>IF(AP42="1",BH42,0)</f>
        <v>0</v>
      </c>
      <c r="AC42" s="36">
        <f>IF(AP42="7",BG42,0)</f>
        <v>0</v>
      </c>
      <c r="AD42" s="36">
        <f>IF(AP42="7",BH42,0)</f>
        <v>0</v>
      </c>
      <c r="AE42" s="36">
        <f>IF(AP42="2",BG42,0)</f>
        <v>0</v>
      </c>
      <c r="AF42" s="36">
        <f>IF(AP42="2",BH42,0)</f>
        <v>0</v>
      </c>
      <c r="AG42" s="36">
        <f>IF(AP42="0",BI42,0)</f>
        <v>0</v>
      </c>
      <c r="AH42" s="59" t="s">
        <v>71</v>
      </c>
      <c r="AI42" s="54">
        <f>IF(AM42=0,K42,0)</f>
        <v>0</v>
      </c>
      <c r="AJ42" s="54">
        <f>IF(AM42=15,K42,0)</f>
        <v>0</v>
      </c>
      <c r="AK42" s="54">
        <f>IF(AM42=21,K42,0)</f>
        <v>0</v>
      </c>
      <c r="AM42" s="36">
        <v>21</v>
      </c>
      <c r="AN42" s="36">
        <f>H42*0</f>
        <v>0</v>
      </c>
      <c r="AO42" s="36">
        <f>H42*(1-0)</f>
        <v>0</v>
      </c>
      <c r="AP42" s="60" t="s">
        <v>120</v>
      </c>
      <c r="AU42" s="36">
        <f>AV42+AW42</f>
        <v>0</v>
      </c>
      <c r="AV42" s="36">
        <f>G42*AN42</f>
        <v>0</v>
      </c>
      <c r="AW42" s="36">
        <f>G42*AO42</f>
        <v>0</v>
      </c>
      <c r="AX42" s="62" t="s">
        <v>621</v>
      </c>
      <c r="AY42" s="62" t="s">
        <v>647</v>
      </c>
      <c r="AZ42" s="59" t="s">
        <v>662</v>
      </c>
      <c r="BB42" s="36">
        <f>AV42+AW42</f>
        <v>0</v>
      </c>
      <c r="BC42" s="36">
        <f>H42/(100-BD42)*100</f>
        <v>0</v>
      </c>
      <c r="BD42" s="36">
        <v>0</v>
      </c>
      <c r="BE42" s="36">
        <f>42</f>
        <v>42</v>
      </c>
      <c r="BG42" s="54">
        <f>G42*AN42</f>
        <v>0</v>
      </c>
      <c r="BH42" s="54">
        <f>G42*AO42</f>
        <v>0</v>
      </c>
      <c r="BI42" s="54">
        <f>G42*H42</f>
        <v>0</v>
      </c>
    </row>
    <row r="43" spans="1:46" ht="12.75">
      <c r="A43" s="43"/>
      <c r="B43" s="51" t="s">
        <v>266</v>
      </c>
      <c r="C43" s="158" t="s">
        <v>434</v>
      </c>
      <c r="D43" s="159"/>
      <c r="E43" s="159"/>
      <c r="F43" s="43" t="s">
        <v>69</v>
      </c>
      <c r="G43" s="43" t="s">
        <v>69</v>
      </c>
      <c r="H43" s="43" t="s">
        <v>69</v>
      </c>
      <c r="I43" s="64">
        <f>SUM(I44:I46)</f>
        <v>0</v>
      </c>
      <c r="J43" s="64">
        <f>SUM(J44:J46)</f>
        <v>0</v>
      </c>
      <c r="K43" s="64">
        <f>SUM(K44:K46)</f>
        <v>0</v>
      </c>
      <c r="AH43" s="59" t="s">
        <v>71</v>
      </c>
      <c r="AR43" s="64">
        <f>SUM(AI44:AI46)</f>
        <v>0</v>
      </c>
      <c r="AS43" s="64">
        <f>SUM(AJ44:AJ46)</f>
        <v>0</v>
      </c>
      <c r="AT43" s="64">
        <f>SUM(AK44:AK46)</f>
        <v>0</v>
      </c>
    </row>
    <row r="44" spans="1:61" ht="12.75">
      <c r="A44" s="44" t="s">
        <v>133</v>
      </c>
      <c r="B44" s="44" t="s">
        <v>267</v>
      </c>
      <c r="C44" s="160" t="s">
        <v>435</v>
      </c>
      <c r="D44" s="161"/>
      <c r="E44" s="161"/>
      <c r="F44" s="44" t="s">
        <v>595</v>
      </c>
      <c r="G44" s="54">
        <v>86.44</v>
      </c>
      <c r="H44" s="54">
        <v>0</v>
      </c>
      <c r="I44" s="54">
        <f>G44*AN44</f>
        <v>0</v>
      </c>
      <c r="J44" s="54">
        <f>G44*AO44</f>
        <v>0</v>
      </c>
      <c r="K44" s="54">
        <f>G44*H44</f>
        <v>0</v>
      </c>
      <c r="Y44" s="36">
        <f>IF(AP44="5",BI44,0)</f>
        <v>0</v>
      </c>
      <c r="AA44" s="36">
        <f>IF(AP44="1",BG44,0)</f>
        <v>0</v>
      </c>
      <c r="AB44" s="36">
        <f>IF(AP44="1",BH44,0)</f>
        <v>0</v>
      </c>
      <c r="AC44" s="36">
        <f>IF(AP44="7",BG44,0)</f>
        <v>0</v>
      </c>
      <c r="AD44" s="36">
        <f>IF(AP44="7",BH44,0)</f>
        <v>0</v>
      </c>
      <c r="AE44" s="36">
        <f>IF(AP44="2",BG44,0)</f>
        <v>0</v>
      </c>
      <c r="AF44" s="36">
        <f>IF(AP44="2",BH44,0)</f>
        <v>0</v>
      </c>
      <c r="AG44" s="36">
        <f>IF(AP44="0",BI44,0)</f>
        <v>0</v>
      </c>
      <c r="AH44" s="59" t="s">
        <v>71</v>
      </c>
      <c r="AI44" s="54">
        <f>IF(AM44=0,K44,0)</f>
        <v>0</v>
      </c>
      <c r="AJ44" s="54">
        <f>IF(AM44=15,K44,0)</f>
        <v>0</v>
      </c>
      <c r="AK44" s="54">
        <f>IF(AM44=21,K44,0)</f>
        <v>0</v>
      </c>
      <c r="AM44" s="36">
        <v>21</v>
      </c>
      <c r="AN44" s="36">
        <f>H44*0.556512037103758</f>
        <v>0</v>
      </c>
      <c r="AO44" s="36">
        <f>H44*(1-0.556512037103758)</f>
        <v>0</v>
      </c>
      <c r="AP44" s="60" t="s">
        <v>121</v>
      </c>
      <c r="AU44" s="36">
        <f>AV44+AW44</f>
        <v>0</v>
      </c>
      <c r="AV44" s="36">
        <f>G44*AN44</f>
        <v>0</v>
      </c>
      <c r="AW44" s="36">
        <f>G44*AO44</f>
        <v>0</v>
      </c>
      <c r="AX44" s="62" t="s">
        <v>622</v>
      </c>
      <c r="AY44" s="62" t="s">
        <v>648</v>
      </c>
      <c r="AZ44" s="59" t="s">
        <v>662</v>
      </c>
      <c r="BB44" s="36">
        <f>AV44+AW44</f>
        <v>0</v>
      </c>
      <c r="BC44" s="36">
        <f>H44/(100-BD44)*100</f>
        <v>0</v>
      </c>
      <c r="BD44" s="36">
        <v>0</v>
      </c>
      <c r="BE44" s="36">
        <f>44</f>
        <v>44</v>
      </c>
      <c r="BG44" s="54">
        <f>G44*AN44</f>
        <v>0</v>
      </c>
      <c r="BH44" s="54">
        <f>G44*AO44</f>
        <v>0</v>
      </c>
      <c r="BI44" s="54">
        <f>G44*H44</f>
        <v>0</v>
      </c>
    </row>
    <row r="45" spans="1:61" ht="12.75">
      <c r="A45" s="44" t="s">
        <v>134</v>
      </c>
      <c r="B45" s="44" t="s">
        <v>268</v>
      </c>
      <c r="C45" s="160" t="s">
        <v>436</v>
      </c>
      <c r="D45" s="161"/>
      <c r="E45" s="161"/>
      <c r="F45" s="44" t="s">
        <v>595</v>
      </c>
      <c r="G45" s="54">
        <v>86.44</v>
      </c>
      <c r="H45" s="54">
        <v>0</v>
      </c>
      <c r="I45" s="54">
        <f>G45*AN45</f>
        <v>0</v>
      </c>
      <c r="J45" s="54">
        <f>G45*AO45</f>
        <v>0</v>
      </c>
      <c r="K45" s="54">
        <f>G45*H45</f>
        <v>0</v>
      </c>
      <c r="Y45" s="36">
        <f>IF(AP45="5",BI45,0)</f>
        <v>0</v>
      </c>
      <c r="AA45" s="36">
        <f>IF(AP45="1",BG45,0)</f>
        <v>0</v>
      </c>
      <c r="AB45" s="36">
        <f>IF(AP45="1",BH45,0)</f>
        <v>0</v>
      </c>
      <c r="AC45" s="36">
        <f>IF(AP45="7",BG45,0)</f>
        <v>0</v>
      </c>
      <c r="AD45" s="36">
        <f>IF(AP45="7",BH45,0)</f>
        <v>0</v>
      </c>
      <c r="AE45" s="36">
        <f>IF(AP45="2",BG45,0)</f>
        <v>0</v>
      </c>
      <c r="AF45" s="36">
        <f>IF(AP45="2",BH45,0)</f>
        <v>0</v>
      </c>
      <c r="AG45" s="36">
        <f>IF(AP45="0",BI45,0)</f>
        <v>0</v>
      </c>
      <c r="AH45" s="59" t="s">
        <v>71</v>
      </c>
      <c r="AI45" s="54">
        <f>IF(AM45=0,K45,0)</f>
        <v>0</v>
      </c>
      <c r="AJ45" s="54">
        <f>IF(AM45=15,K45,0)</f>
        <v>0</v>
      </c>
      <c r="AK45" s="54">
        <f>IF(AM45=21,K45,0)</f>
        <v>0</v>
      </c>
      <c r="AM45" s="36">
        <v>21</v>
      </c>
      <c r="AN45" s="36">
        <f>H45*0.471977077363897</f>
        <v>0</v>
      </c>
      <c r="AO45" s="36">
        <f>H45*(1-0.471977077363897)</f>
        <v>0</v>
      </c>
      <c r="AP45" s="60" t="s">
        <v>121</v>
      </c>
      <c r="AU45" s="36">
        <f>AV45+AW45</f>
        <v>0</v>
      </c>
      <c r="AV45" s="36">
        <f>G45*AN45</f>
        <v>0</v>
      </c>
      <c r="AW45" s="36">
        <f>G45*AO45</f>
        <v>0</v>
      </c>
      <c r="AX45" s="62" t="s">
        <v>622</v>
      </c>
      <c r="AY45" s="62" t="s">
        <v>648</v>
      </c>
      <c r="AZ45" s="59" t="s">
        <v>662</v>
      </c>
      <c r="BB45" s="36">
        <f>AV45+AW45</f>
        <v>0</v>
      </c>
      <c r="BC45" s="36">
        <f>H45/(100-BD45)*100</f>
        <v>0</v>
      </c>
      <c r="BD45" s="36">
        <v>0</v>
      </c>
      <c r="BE45" s="36">
        <f>45</f>
        <v>45</v>
      </c>
      <c r="BG45" s="54">
        <f>G45*AN45</f>
        <v>0</v>
      </c>
      <c r="BH45" s="54">
        <f>G45*AO45</f>
        <v>0</v>
      </c>
      <c r="BI45" s="54">
        <f>G45*H45</f>
        <v>0</v>
      </c>
    </row>
    <row r="46" spans="1:61" ht="12.75">
      <c r="A46" s="44" t="s">
        <v>135</v>
      </c>
      <c r="B46" s="44" t="s">
        <v>269</v>
      </c>
      <c r="C46" s="160" t="s">
        <v>437</v>
      </c>
      <c r="D46" s="161"/>
      <c r="E46" s="161"/>
      <c r="F46" s="44" t="s">
        <v>592</v>
      </c>
      <c r="G46" s="54">
        <v>0.13</v>
      </c>
      <c r="H46" s="54">
        <v>0</v>
      </c>
      <c r="I46" s="54">
        <f>G46*AN46</f>
        <v>0</v>
      </c>
      <c r="J46" s="54">
        <f>G46*AO46</f>
        <v>0</v>
      </c>
      <c r="K46" s="54">
        <f>G46*H46</f>
        <v>0</v>
      </c>
      <c r="Y46" s="36">
        <f>IF(AP46="5",BI46,0)</f>
        <v>0</v>
      </c>
      <c r="AA46" s="36">
        <f>IF(AP46="1",BG46,0)</f>
        <v>0</v>
      </c>
      <c r="AB46" s="36">
        <f>IF(AP46="1",BH46,0)</f>
        <v>0</v>
      </c>
      <c r="AC46" s="36">
        <f>IF(AP46="7",BG46,0)</f>
        <v>0</v>
      </c>
      <c r="AD46" s="36">
        <f>IF(AP46="7",BH46,0)</f>
        <v>0</v>
      </c>
      <c r="AE46" s="36">
        <f>IF(AP46="2",BG46,0)</f>
        <v>0</v>
      </c>
      <c r="AF46" s="36">
        <f>IF(AP46="2",BH46,0)</f>
        <v>0</v>
      </c>
      <c r="AG46" s="36">
        <f>IF(AP46="0",BI46,0)</f>
        <v>0</v>
      </c>
      <c r="AH46" s="59" t="s">
        <v>71</v>
      </c>
      <c r="AI46" s="54">
        <f>IF(AM46=0,K46,0)</f>
        <v>0</v>
      </c>
      <c r="AJ46" s="54">
        <f>IF(AM46=15,K46,0)</f>
        <v>0</v>
      </c>
      <c r="AK46" s="54">
        <f>IF(AM46=21,K46,0)</f>
        <v>0</v>
      </c>
      <c r="AM46" s="36">
        <v>21</v>
      </c>
      <c r="AN46" s="36">
        <f>H46*0</f>
        <v>0</v>
      </c>
      <c r="AO46" s="36">
        <f>H46*(1-0)</f>
        <v>0</v>
      </c>
      <c r="AP46" s="60" t="s">
        <v>120</v>
      </c>
      <c r="AU46" s="36">
        <f>AV46+AW46</f>
        <v>0</v>
      </c>
      <c r="AV46" s="36">
        <f>G46*AN46</f>
        <v>0</v>
      </c>
      <c r="AW46" s="36">
        <f>G46*AO46</f>
        <v>0</v>
      </c>
      <c r="AX46" s="62" t="s">
        <v>622</v>
      </c>
      <c r="AY46" s="62" t="s">
        <v>648</v>
      </c>
      <c r="AZ46" s="59" t="s">
        <v>662</v>
      </c>
      <c r="BB46" s="36">
        <f>AV46+AW46</f>
        <v>0</v>
      </c>
      <c r="BC46" s="36">
        <f>H46/(100-BD46)*100</f>
        <v>0</v>
      </c>
      <c r="BD46" s="36">
        <v>0</v>
      </c>
      <c r="BE46" s="36">
        <f>46</f>
        <v>46</v>
      </c>
      <c r="BG46" s="54">
        <f>G46*AN46</f>
        <v>0</v>
      </c>
      <c r="BH46" s="54">
        <f>G46*AO46</f>
        <v>0</v>
      </c>
      <c r="BI46" s="54">
        <f>G46*H46</f>
        <v>0</v>
      </c>
    </row>
    <row r="47" spans="1:46" ht="12.75">
      <c r="A47" s="43"/>
      <c r="B47" s="51" t="s">
        <v>270</v>
      </c>
      <c r="C47" s="158" t="s">
        <v>438</v>
      </c>
      <c r="D47" s="159"/>
      <c r="E47" s="159"/>
      <c r="F47" s="43" t="s">
        <v>69</v>
      </c>
      <c r="G47" s="43" t="s">
        <v>69</v>
      </c>
      <c r="H47" s="43" t="s">
        <v>69</v>
      </c>
      <c r="I47" s="64">
        <f>SUM(I48:I54)</f>
        <v>0</v>
      </c>
      <c r="J47" s="64">
        <f>SUM(J48:J54)</f>
        <v>0</v>
      </c>
      <c r="K47" s="64">
        <f>SUM(K48:K54)</f>
        <v>0</v>
      </c>
      <c r="AH47" s="59" t="s">
        <v>71</v>
      </c>
      <c r="AR47" s="64">
        <f>SUM(AI48:AI54)</f>
        <v>0</v>
      </c>
      <c r="AS47" s="64">
        <f>SUM(AJ48:AJ54)</f>
        <v>0</v>
      </c>
      <c r="AT47" s="64">
        <f>SUM(AK48:AK54)</f>
        <v>0</v>
      </c>
    </row>
    <row r="48" spans="1:61" ht="12.75">
      <c r="A48" s="44" t="s">
        <v>136</v>
      </c>
      <c r="B48" s="44" t="s">
        <v>271</v>
      </c>
      <c r="C48" s="160" t="s">
        <v>439</v>
      </c>
      <c r="D48" s="161"/>
      <c r="E48" s="161"/>
      <c r="F48" s="44" t="s">
        <v>593</v>
      </c>
      <c r="G48" s="54">
        <v>83.16</v>
      </c>
      <c r="H48" s="54">
        <v>0</v>
      </c>
      <c r="I48" s="54">
        <f aca="true" t="shared" si="22" ref="I48:I54">G48*AN48</f>
        <v>0</v>
      </c>
      <c r="J48" s="54">
        <f aca="true" t="shared" si="23" ref="J48:J54">G48*AO48</f>
        <v>0</v>
      </c>
      <c r="K48" s="54">
        <f aca="true" t="shared" si="24" ref="K48:K54">G48*H48</f>
        <v>0</v>
      </c>
      <c r="Y48" s="36">
        <f aca="true" t="shared" si="25" ref="Y48:Y54">IF(AP48="5",BI48,0)</f>
        <v>0</v>
      </c>
      <c r="AA48" s="36">
        <f aca="true" t="shared" si="26" ref="AA48:AA54">IF(AP48="1",BG48,0)</f>
        <v>0</v>
      </c>
      <c r="AB48" s="36">
        <f aca="true" t="shared" si="27" ref="AB48:AB54">IF(AP48="1",BH48,0)</f>
        <v>0</v>
      </c>
      <c r="AC48" s="36">
        <f aca="true" t="shared" si="28" ref="AC48:AC54">IF(AP48="7",BG48,0)</f>
        <v>0</v>
      </c>
      <c r="AD48" s="36">
        <f aca="true" t="shared" si="29" ref="AD48:AD54">IF(AP48="7",BH48,0)</f>
        <v>0</v>
      </c>
      <c r="AE48" s="36">
        <f aca="true" t="shared" si="30" ref="AE48:AE54">IF(AP48="2",BG48,0)</f>
        <v>0</v>
      </c>
      <c r="AF48" s="36">
        <f aca="true" t="shared" si="31" ref="AF48:AF54">IF(AP48="2",BH48,0)</f>
        <v>0</v>
      </c>
      <c r="AG48" s="36">
        <f aca="true" t="shared" si="32" ref="AG48:AG54">IF(AP48="0",BI48,0)</f>
        <v>0</v>
      </c>
      <c r="AH48" s="59" t="s">
        <v>71</v>
      </c>
      <c r="AI48" s="54">
        <f aca="true" t="shared" si="33" ref="AI48:AI54">IF(AM48=0,K48,0)</f>
        <v>0</v>
      </c>
      <c r="AJ48" s="54">
        <f aca="true" t="shared" si="34" ref="AJ48:AJ54">IF(AM48=15,K48,0)</f>
        <v>0</v>
      </c>
      <c r="AK48" s="54">
        <f aca="true" t="shared" si="35" ref="AK48:AK54">IF(AM48=21,K48,0)</f>
        <v>0</v>
      </c>
      <c r="AM48" s="36">
        <v>21</v>
      </c>
      <c r="AN48" s="36">
        <f>H48*0.067983367983368</f>
        <v>0</v>
      </c>
      <c r="AO48" s="36">
        <f>H48*(1-0.067983367983368)</f>
        <v>0</v>
      </c>
      <c r="AP48" s="60" t="s">
        <v>121</v>
      </c>
      <c r="AU48" s="36">
        <f aca="true" t="shared" si="36" ref="AU48:AU54">AV48+AW48</f>
        <v>0</v>
      </c>
      <c r="AV48" s="36">
        <f aca="true" t="shared" si="37" ref="AV48:AV54">G48*AN48</f>
        <v>0</v>
      </c>
      <c r="AW48" s="36">
        <f aca="true" t="shared" si="38" ref="AW48:AW54">G48*AO48</f>
        <v>0</v>
      </c>
      <c r="AX48" s="62" t="s">
        <v>623</v>
      </c>
      <c r="AY48" s="62" t="s">
        <v>649</v>
      </c>
      <c r="AZ48" s="59" t="s">
        <v>662</v>
      </c>
      <c r="BB48" s="36">
        <f aca="true" t="shared" si="39" ref="BB48:BB54">AV48+AW48</f>
        <v>0</v>
      </c>
      <c r="BC48" s="36">
        <f aca="true" t="shared" si="40" ref="BC48:BC54">H48/(100-BD48)*100</f>
        <v>0</v>
      </c>
      <c r="BD48" s="36">
        <v>0</v>
      </c>
      <c r="BE48" s="36">
        <f>48</f>
        <v>48</v>
      </c>
      <c r="BG48" s="54">
        <f aca="true" t="shared" si="41" ref="BG48:BG54">G48*AN48</f>
        <v>0</v>
      </c>
      <c r="BH48" s="54">
        <f aca="true" t="shared" si="42" ref="BH48:BH54">G48*AO48</f>
        <v>0</v>
      </c>
      <c r="BI48" s="54">
        <f aca="true" t="shared" si="43" ref="BI48:BI54">G48*H48</f>
        <v>0</v>
      </c>
    </row>
    <row r="49" spans="1:61" ht="12.75">
      <c r="A49" s="45" t="s">
        <v>137</v>
      </c>
      <c r="B49" s="45" t="s">
        <v>272</v>
      </c>
      <c r="C49" s="162" t="s">
        <v>440</v>
      </c>
      <c r="D49" s="163"/>
      <c r="E49" s="163"/>
      <c r="F49" s="45" t="s">
        <v>594</v>
      </c>
      <c r="G49" s="55">
        <v>3</v>
      </c>
      <c r="H49" s="55">
        <v>0</v>
      </c>
      <c r="I49" s="55">
        <f t="shared" si="22"/>
        <v>0</v>
      </c>
      <c r="J49" s="55">
        <f t="shared" si="23"/>
        <v>0</v>
      </c>
      <c r="K49" s="55">
        <f t="shared" si="24"/>
        <v>0</v>
      </c>
      <c r="Y49" s="36">
        <f t="shared" si="25"/>
        <v>0</v>
      </c>
      <c r="AA49" s="36">
        <f t="shared" si="26"/>
        <v>0</v>
      </c>
      <c r="AB49" s="36">
        <f t="shared" si="27"/>
        <v>0</v>
      </c>
      <c r="AC49" s="36">
        <f t="shared" si="28"/>
        <v>0</v>
      </c>
      <c r="AD49" s="36">
        <f t="shared" si="29"/>
        <v>0</v>
      </c>
      <c r="AE49" s="36">
        <f t="shared" si="30"/>
        <v>0</v>
      </c>
      <c r="AF49" s="36">
        <f t="shared" si="31"/>
        <v>0</v>
      </c>
      <c r="AG49" s="36">
        <f t="shared" si="32"/>
        <v>0</v>
      </c>
      <c r="AH49" s="59" t="s">
        <v>71</v>
      </c>
      <c r="AI49" s="55">
        <f t="shared" si="33"/>
        <v>0</v>
      </c>
      <c r="AJ49" s="55">
        <f t="shared" si="34"/>
        <v>0</v>
      </c>
      <c r="AK49" s="55">
        <f t="shared" si="35"/>
        <v>0</v>
      </c>
      <c r="AM49" s="36">
        <v>21</v>
      </c>
      <c r="AN49" s="36">
        <f>H49*1</f>
        <v>0</v>
      </c>
      <c r="AO49" s="36">
        <f>H49*(1-1)</f>
        <v>0</v>
      </c>
      <c r="AP49" s="61" t="s">
        <v>121</v>
      </c>
      <c r="AU49" s="36">
        <f t="shared" si="36"/>
        <v>0</v>
      </c>
      <c r="AV49" s="36">
        <f t="shared" si="37"/>
        <v>0</v>
      </c>
      <c r="AW49" s="36">
        <f t="shared" si="38"/>
        <v>0</v>
      </c>
      <c r="AX49" s="62" t="s">
        <v>623</v>
      </c>
      <c r="AY49" s="62" t="s">
        <v>649</v>
      </c>
      <c r="AZ49" s="59" t="s">
        <v>662</v>
      </c>
      <c r="BB49" s="36">
        <f t="shared" si="39"/>
        <v>0</v>
      </c>
      <c r="BC49" s="36">
        <f t="shared" si="40"/>
        <v>0</v>
      </c>
      <c r="BD49" s="36">
        <v>0</v>
      </c>
      <c r="BE49" s="36">
        <f>49</f>
        <v>49</v>
      </c>
      <c r="BG49" s="55">
        <f t="shared" si="41"/>
        <v>0</v>
      </c>
      <c r="BH49" s="55">
        <f t="shared" si="42"/>
        <v>0</v>
      </c>
      <c r="BI49" s="55">
        <f t="shared" si="43"/>
        <v>0</v>
      </c>
    </row>
    <row r="50" spans="1:61" ht="12.75">
      <c r="A50" s="45" t="s">
        <v>138</v>
      </c>
      <c r="B50" s="45" t="s">
        <v>273</v>
      </c>
      <c r="C50" s="162" t="s">
        <v>441</v>
      </c>
      <c r="D50" s="163"/>
      <c r="E50" s="163"/>
      <c r="F50" s="45" t="s">
        <v>595</v>
      </c>
      <c r="G50" s="55">
        <v>30.8</v>
      </c>
      <c r="H50" s="55">
        <v>0</v>
      </c>
      <c r="I50" s="55">
        <f t="shared" si="22"/>
        <v>0</v>
      </c>
      <c r="J50" s="55">
        <f t="shared" si="23"/>
        <v>0</v>
      </c>
      <c r="K50" s="55">
        <f t="shared" si="24"/>
        <v>0</v>
      </c>
      <c r="Y50" s="36">
        <f t="shared" si="25"/>
        <v>0</v>
      </c>
      <c r="AA50" s="36">
        <f t="shared" si="26"/>
        <v>0</v>
      </c>
      <c r="AB50" s="36">
        <f t="shared" si="27"/>
        <v>0</v>
      </c>
      <c r="AC50" s="36">
        <f t="shared" si="28"/>
        <v>0</v>
      </c>
      <c r="AD50" s="36">
        <f t="shared" si="29"/>
        <v>0</v>
      </c>
      <c r="AE50" s="36">
        <f t="shared" si="30"/>
        <v>0</v>
      </c>
      <c r="AF50" s="36">
        <f t="shared" si="31"/>
        <v>0</v>
      </c>
      <c r="AG50" s="36">
        <f t="shared" si="32"/>
        <v>0</v>
      </c>
      <c r="AH50" s="59" t="s">
        <v>71</v>
      </c>
      <c r="AI50" s="55">
        <f t="shared" si="33"/>
        <v>0</v>
      </c>
      <c r="AJ50" s="55">
        <f t="shared" si="34"/>
        <v>0</v>
      </c>
      <c r="AK50" s="55">
        <f t="shared" si="35"/>
        <v>0</v>
      </c>
      <c r="AM50" s="36">
        <v>21</v>
      </c>
      <c r="AN50" s="36">
        <f>H50*1</f>
        <v>0</v>
      </c>
      <c r="AO50" s="36">
        <f>H50*(1-1)</f>
        <v>0</v>
      </c>
      <c r="AP50" s="61" t="s">
        <v>121</v>
      </c>
      <c r="AU50" s="36">
        <f t="shared" si="36"/>
        <v>0</v>
      </c>
      <c r="AV50" s="36">
        <f t="shared" si="37"/>
        <v>0</v>
      </c>
      <c r="AW50" s="36">
        <f t="shared" si="38"/>
        <v>0</v>
      </c>
      <c r="AX50" s="62" t="s">
        <v>623</v>
      </c>
      <c r="AY50" s="62" t="s">
        <v>649</v>
      </c>
      <c r="AZ50" s="59" t="s">
        <v>662</v>
      </c>
      <c r="BB50" s="36">
        <f t="shared" si="39"/>
        <v>0</v>
      </c>
      <c r="BC50" s="36">
        <f t="shared" si="40"/>
        <v>0</v>
      </c>
      <c r="BD50" s="36">
        <v>0</v>
      </c>
      <c r="BE50" s="36">
        <f>50</f>
        <v>50</v>
      </c>
      <c r="BG50" s="55">
        <f t="shared" si="41"/>
        <v>0</v>
      </c>
      <c r="BH50" s="55">
        <f t="shared" si="42"/>
        <v>0</v>
      </c>
      <c r="BI50" s="55">
        <f t="shared" si="43"/>
        <v>0</v>
      </c>
    </row>
    <row r="51" spans="1:61" ht="12.75">
      <c r="A51" s="44" t="s">
        <v>139</v>
      </c>
      <c r="B51" s="44" t="s">
        <v>274</v>
      </c>
      <c r="C51" s="160" t="s">
        <v>442</v>
      </c>
      <c r="D51" s="161"/>
      <c r="E51" s="161"/>
      <c r="F51" s="44" t="s">
        <v>594</v>
      </c>
      <c r="G51" s="54">
        <v>1</v>
      </c>
      <c r="H51" s="54">
        <v>0</v>
      </c>
      <c r="I51" s="54">
        <f t="shared" si="22"/>
        <v>0</v>
      </c>
      <c r="J51" s="54">
        <f t="shared" si="23"/>
        <v>0</v>
      </c>
      <c r="K51" s="54">
        <f t="shared" si="24"/>
        <v>0</v>
      </c>
      <c r="Y51" s="36">
        <f t="shared" si="25"/>
        <v>0</v>
      </c>
      <c r="AA51" s="36">
        <f t="shared" si="26"/>
        <v>0</v>
      </c>
      <c r="AB51" s="36">
        <f t="shared" si="27"/>
        <v>0</v>
      </c>
      <c r="AC51" s="36">
        <f t="shared" si="28"/>
        <v>0</v>
      </c>
      <c r="AD51" s="36">
        <f t="shared" si="29"/>
        <v>0</v>
      </c>
      <c r="AE51" s="36">
        <f t="shared" si="30"/>
        <v>0</v>
      </c>
      <c r="AF51" s="36">
        <f t="shared" si="31"/>
        <v>0</v>
      </c>
      <c r="AG51" s="36">
        <f t="shared" si="32"/>
        <v>0</v>
      </c>
      <c r="AH51" s="59" t="s">
        <v>71</v>
      </c>
      <c r="AI51" s="54">
        <f t="shared" si="33"/>
        <v>0</v>
      </c>
      <c r="AJ51" s="54">
        <f t="shared" si="34"/>
        <v>0</v>
      </c>
      <c r="AK51" s="54">
        <f t="shared" si="35"/>
        <v>0</v>
      </c>
      <c r="AM51" s="36">
        <v>21</v>
      </c>
      <c r="AN51" s="36">
        <f>H51*0</f>
        <v>0</v>
      </c>
      <c r="AO51" s="36">
        <f>H51*(1-0)</f>
        <v>0</v>
      </c>
      <c r="AP51" s="60" t="s">
        <v>121</v>
      </c>
      <c r="AU51" s="36">
        <f t="shared" si="36"/>
        <v>0</v>
      </c>
      <c r="AV51" s="36">
        <f t="shared" si="37"/>
        <v>0</v>
      </c>
      <c r="AW51" s="36">
        <f t="shared" si="38"/>
        <v>0</v>
      </c>
      <c r="AX51" s="62" t="s">
        <v>623</v>
      </c>
      <c r="AY51" s="62" t="s">
        <v>649</v>
      </c>
      <c r="AZ51" s="59" t="s">
        <v>662</v>
      </c>
      <c r="BB51" s="36">
        <f t="shared" si="39"/>
        <v>0</v>
      </c>
      <c r="BC51" s="36">
        <f t="shared" si="40"/>
        <v>0</v>
      </c>
      <c r="BD51" s="36">
        <v>0</v>
      </c>
      <c r="BE51" s="36">
        <f>51</f>
        <v>51</v>
      </c>
      <c r="BG51" s="54">
        <f t="shared" si="41"/>
        <v>0</v>
      </c>
      <c r="BH51" s="54">
        <f t="shared" si="42"/>
        <v>0</v>
      </c>
      <c r="BI51" s="54">
        <f t="shared" si="43"/>
        <v>0</v>
      </c>
    </row>
    <row r="52" spans="1:61" ht="12.75">
      <c r="A52" s="45" t="s">
        <v>140</v>
      </c>
      <c r="B52" s="45" t="s">
        <v>275</v>
      </c>
      <c r="C52" s="162" t="s">
        <v>443</v>
      </c>
      <c r="D52" s="163"/>
      <c r="E52" s="163"/>
      <c r="F52" s="45" t="s">
        <v>594</v>
      </c>
      <c r="G52" s="55">
        <v>1</v>
      </c>
      <c r="H52" s="55">
        <v>0</v>
      </c>
      <c r="I52" s="55">
        <f t="shared" si="22"/>
        <v>0</v>
      </c>
      <c r="J52" s="55">
        <f t="shared" si="23"/>
        <v>0</v>
      </c>
      <c r="K52" s="55">
        <f t="shared" si="24"/>
        <v>0</v>
      </c>
      <c r="Y52" s="36">
        <f t="shared" si="25"/>
        <v>0</v>
      </c>
      <c r="AA52" s="36">
        <f t="shared" si="26"/>
        <v>0</v>
      </c>
      <c r="AB52" s="36">
        <f t="shared" si="27"/>
        <v>0</v>
      </c>
      <c r="AC52" s="36">
        <f t="shared" si="28"/>
        <v>0</v>
      </c>
      <c r="AD52" s="36">
        <f t="shared" si="29"/>
        <v>0</v>
      </c>
      <c r="AE52" s="36">
        <f t="shared" si="30"/>
        <v>0</v>
      </c>
      <c r="AF52" s="36">
        <f t="shared" si="31"/>
        <v>0</v>
      </c>
      <c r="AG52" s="36">
        <f t="shared" si="32"/>
        <v>0</v>
      </c>
      <c r="AH52" s="59" t="s">
        <v>71</v>
      </c>
      <c r="AI52" s="55">
        <f t="shared" si="33"/>
        <v>0</v>
      </c>
      <c r="AJ52" s="55">
        <f t="shared" si="34"/>
        <v>0</v>
      </c>
      <c r="AK52" s="55">
        <f t="shared" si="35"/>
        <v>0</v>
      </c>
      <c r="AM52" s="36">
        <v>21</v>
      </c>
      <c r="AN52" s="36">
        <f>H52*1</f>
        <v>0</v>
      </c>
      <c r="AO52" s="36">
        <f>H52*(1-1)</f>
        <v>0</v>
      </c>
      <c r="AP52" s="61" t="s">
        <v>121</v>
      </c>
      <c r="AU52" s="36">
        <f t="shared" si="36"/>
        <v>0</v>
      </c>
      <c r="AV52" s="36">
        <f t="shared" si="37"/>
        <v>0</v>
      </c>
      <c r="AW52" s="36">
        <f t="shared" si="38"/>
        <v>0</v>
      </c>
      <c r="AX52" s="62" t="s">
        <v>623</v>
      </c>
      <c r="AY52" s="62" t="s">
        <v>649</v>
      </c>
      <c r="AZ52" s="59" t="s">
        <v>662</v>
      </c>
      <c r="BB52" s="36">
        <f t="shared" si="39"/>
        <v>0</v>
      </c>
      <c r="BC52" s="36">
        <f t="shared" si="40"/>
        <v>0</v>
      </c>
      <c r="BD52" s="36">
        <v>0</v>
      </c>
      <c r="BE52" s="36">
        <f>52</f>
        <v>52</v>
      </c>
      <c r="BG52" s="55">
        <f t="shared" si="41"/>
        <v>0</v>
      </c>
      <c r="BH52" s="55">
        <f t="shared" si="42"/>
        <v>0</v>
      </c>
      <c r="BI52" s="55">
        <f t="shared" si="43"/>
        <v>0</v>
      </c>
    </row>
    <row r="53" spans="1:61" ht="12.75">
      <c r="A53" s="44" t="s">
        <v>141</v>
      </c>
      <c r="B53" s="44" t="s">
        <v>276</v>
      </c>
      <c r="C53" s="160" t="s">
        <v>444</v>
      </c>
      <c r="D53" s="161"/>
      <c r="E53" s="161"/>
      <c r="F53" s="44" t="s">
        <v>595</v>
      </c>
      <c r="G53" s="54">
        <v>37.8</v>
      </c>
      <c r="H53" s="54">
        <v>0</v>
      </c>
      <c r="I53" s="54">
        <f t="shared" si="22"/>
        <v>0</v>
      </c>
      <c r="J53" s="54">
        <f t="shared" si="23"/>
        <v>0</v>
      </c>
      <c r="K53" s="54">
        <f t="shared" si="24"/>
        <v>0</v>
      </c>
      <c r="Y53" s="36">
        <f t="shared" si="25"/>
        <v>0</v>
      </c>
      <c r="AA53" s="36">
        <f t="shared" si="26"/>
        <v>0</v>
      </c>
      <c r="AB53" s="36">
        <f t="shared" si="27"/>
        <v>0</v>
      </c>
      <c r="AC53" s="36">
        <f t="shared" si="28"/>
        <v>0</v>
      </c>
      <c r="AD53" s="36">
        <f t="shared" si="29"/>
        <v>0</v>
      </c>
      <c r="AE53" s="36">
        <f t="shared" si="30"/>
        <v>0</v>
      </c>
      <c r="AF53" s="36">
        <f t="shared" si="31"/>
        <v>0</v>
      </c>
      <c r="AG53" s="36">
        <f t="shared" si="32"/>
        <v>0</v>
      </c>
      <c r="AH53" s="59" t="s">
        <v>71</v>
      </c>
      <c r="AI53" s="54">
        <f t="shared" si="33"/>
        <v>0</v>
      </c>
      <c r="AJ53" s="54">
        <f t="shared" si="34"/>
        <v>0</v>
      </c>
      <c r="AK53" s="54">
        <f t="shared" si="35"/>
        <v>0</v>
      </c>
      <c r="AM53" s="36">
        <v>21</v>
      </c>
      <c r="AN53" s="36">
        <f>H53*0</f>
        <v>0</v>
      </c>
      <c r="AO53" s="36">
        <f>H53*(1-0)</f>
        <v>0</v>
      </c>
      <c r="AP53" s="60" t="s">
        <v>121</v>
      </c>
      <c r="AU53" s="36">
        <f t="shared" si="36"/>
        <v>0</v>
      </c>
      <c r="AV53" s="36">
        <f t="shared" si="37"/>
        <v>0</v>
      </c>
      <c r="AW53" s="36">
        <f t="shared" si="38"/>
        <v>0</v>
      </c>
      <c r="AX53" s="62" t="s">
        <v>623</v>
      </c>
      <c r="AY53" s="62" t="s">
        <v>649</v>
      </c>
      <c r="AZ53" s="59" t="s">
        <v>662</v>
      </c>
      <c r="BB53" s="36">
        <f t="shared" si="39"/>
        <v>0</v>
      </c>
      <c r="BC53" s="36">
        <f t="shared" si="40"/>
        <v>0</v>
      </c>
      <c r="BD53" s="36">
        <v>0</v>
      </c>
      <c r="BE53" s="36">
        <f>53</f>
        <v>53</v>
      </c>
      <c r="BG53" s="54">
        <f t="shared" si="41"/>
        <v>0</v>
      </c>
      <c r="BH53" s="54">
        <f t="shared" si="42"/>
        <v>0</v>
      </c>
      <c r="BI53" s="54">
        <f t="shared" si="43"/>
        <v>0</v>
      </c>
    </row>
    <row r="54" spans="1:61" ht="12.75">
      <c r="A54" s="44" t="s">
        <v>142</v>
      </c>
      <c r="B54" s="44" t="s">
        <v>277</v>
      </c>
      <c r="C54" s="160" t="s">
        <v>445</v>
      </c>
      <c r="D54" s="161"/>
      <c r="E54" s="161"/>
      <c r="F54" s="44" t="s">
        <v>592</v>
      </c>
      <c r="G54" s="54">
        <v>1.64</v>
      </c>
      <c r="H54" s="54">
        <v>0</v>
      </c>
      <c r="I54" s="54">
        <f t="shared" si="22"/>
        <v>0</v>
      </c>
      <c r="J54" s="54">
        <f t="shared" si="23"/>
        <v>0</v>
      </c>
      <c r="K54" s="54">
        <f t="shared" si="24"/>
        <v>0</v>
      </c>
      <c r="Y54" s="36">
        <f t="shared" si="25"/>
        <v>0</v>
      </c>
      <c r="AA54" s="36">
        <f t="shared" si="26"/>
        <v>0</v>
      </c>
      <c r="AB54" s="36">
        <f t="shared" si="27"/>
        <v>0</v>
      </c>
      <c r="AC54" s="36">
        <f t="shared" si="28"/>
        <v>0</v>
      </c>
      <c r="AD54" s="36">
        <f t="shared" si="29"/>
        <v>0</v>
      </c>
      <c r="AE54" s="36">
        <f t="shared" si="30"/>
        <v>0</v>
      </c>
      <c r="AF54" s="36">
        <f t="shared" si="31"/>
        <v>0</v>
      </c>
      <c r="AG54" s="36">
        <f t="shared" si="32"/>
        <v>0</v>
      </c>
      <c r="AH54" s="59" t="s">
        <v>71</v>
      </c>
      <c r="AI54" s="54">
        <f t="shared" si="33"/>
        <v>0</v>
      </c>
      <c r="AJ54" s="54">
        <f t="shared" si="34"/>
        <v>0</v>
      </c>
      <c r="AK54" s="54">
        <f t="shared" si="35"/>
        <v>0</v>
      </c>
      <c r="AM54" s="36">
        <v>21</v>
      </c>
      <c r="AN54" s="36">
        <f>H54*0</f>
        <v>0</v>
      </c>
      <c r="AO54" s="36">
        <f>H54*(1-0)</f>
        <v>0</v>
      </c>
      <c r="AP54" s="60" t="s">
        <v>120</v>
      </c>
      <c r="AU54" s="36">
        <f t="shared" si="36"/>
        <v>0</v>
      </c>
      <c r="AV54" s="36">
        <f t="shared" si="37"/>
        <v>0</v>
      </c>
      <c r="AW54" s="36">
        <f t="shared" si="38"/>
        <v>0</v>
      </c>
      <c r="AX54" s="62" t="s">
        <v>623</v>
      </c>
      <c r="AY54" s="62" t="s">
        <v>649</v>
      </c>
      <c r="AZ54" s="59" t="s">
        <v>662</v>
      </c>
      <c r="BB54" s="36">
        <f t="shared" si="39"/>
        <v>0</v>
      </c>
      <c r="BC54" s="36">
        <f t="shared" si="40"/>
        <v>0</v>
      </c>
      <c r="BD54" s="36">
        <v>0</v>
      </c>
      <c r="BE54" s="36">
        <f>54</f>
        <v>54</v>
      </c>
      <c r="BG54" s="54">
        <f t="shared" si="41"/>
        <v>0</v>
      </c>
      <c r="BH54" s="54">
        <f t="shared" si="42"/>
        <v>0</v>
      </c>
      <c r="BI54" s="54">
        <f t="shared" si="43"/>
        <v>0</v>
      </c>
    </row>
    <row r="55" spans="1:46" ht="12.75">
      <c r="A55" s="43"/>
      <c r="B55" s="51" t="s">
        <v>278</v>
      </c>
      <c r="C55" s="158" t="s">
        <v>446</v>
      </c>
      <c r="D55" s="159"/>
      <c r="E55" s="159"/>
      <c r="F55" s="43" t="s">
        <v>69</v>
      </c>
      <c r="G55" s="43" t="s">
        <v>69</v>
      </c>
      <c r="H55" s="43" t="s">
        <v>69</v>
      </c>
      <c r="I55" s="64">
        <f>SUM(I56:I58)</f>
        <v>0</v>
      </c>
      <c r="J55" s="64">
        <f>SUM(J56:J58)</f>
        <v>0</v>
      </c>
      <c r="K55" s="64">
        <f>SUM(K56:K58)</f>
        <v>0</v>
      </c>
      <c r="AH55" s="59" t="s">
        <v>71</v>
      </c>
      <c r="AR55" s="64">
        <f>SUM(AI56:AI58)</f>
        <v>0</v>
      </c>
      <c r="AS55" s="64">
        <f>SUM(AJ56:AJ58)</f>
        <v>0</v>
      </c>
      <c r="AT55" s="64">
        <f>SUM(AK56:AK58)</f>
        <v>0</v>
      </c>
    </row>
    <row r="56" spans="1:61" ht="12.75">
      <c r="A56" s="44" t="s">
        <v>143</v>
      </c>
      <c r="B56" s="44" t="s">
        <v>279</v>
      </c>
      <c r="C56" s="160" t="s">
        <v>447</v>
      </c>
      <c r="D56" s="161"/>
      <c r="E56" s="161"/>
      <c r="F56" s="44" t="s">
        <v>596</v>
      </c>
      <c r="G56" s="54">
        <v>4</v>
      </c>
      <c r="H56" s="54">
        <v>0</v>
      </c>
      <c r="I56" s="54">
        <f>G56*AN56</f>
        <v>0</v>
      </c>
      <c r="J56" s="54">
        <f>G56*AO56</f>
        <v>0</v>
      </c>
      <c r="K56" s="54">
        <f>G56*H56</f>
        <v>0</v>
      </c>
      <c r="Y56" s="36">
        <f>IF(AP56="5",BI56,0)</f>
        <v>0</v>
      </c>
      <c r="AA56" s="36">
        <f>IF(AP56="1",BG56,0)</f>
        <v>0</v>
      </c>
      <c r="AB56" s="36">
        <f>IF(AP56="1",BH56,0)</f>
        <v>0</v>
      </c>
      <c r="AC56" s="36">
        <f>IF(AP56="7",BG56,0)</f>
        <v>0</v>
      </c>
      <c r="AD56" s="36">
        <f>IF(AP56="7",BH56,0)</f>
        <v>0</v>
      </c>
      <c r="AE56" s="36">
        <f>IF(AP56="2",BG56,0)</f>
        <v>0</v>
      </c>
      <c r="AF56" s="36">
        <f>IF(AP56="2",BH56,0)</f>
        <v>0</v>
      </c>
      <c r="AG56" s="36">
        <f>IF(AP56="0",BI56,0)</f>
        <v>0</v>
      </c>
      <c r="AH56" s="59" t="s">
        <v>71</v>
      </c>
      <c r="AI56" s="54">
        <f>IF(AM56=0,K56,0)</f>
        <v>0</v>
      </c>
      <c r="AJ56" s="54">
        <f>IF(AM56=15,K56,0)</f>
        <v>0</v>
      </c>
      <c r="AK56" s="54">
        <f>IF(AM56=21,K56,0)</f>
        <v>0</v>
      </c>
      <c r="AM56" s="36">
        <v>21</v>
      </c>
      <c r="AN56" s="36">
        <f>H56*0.011804008908686</f>
        <v>0</v>
      </c>
      <c r="AO56" s="36">
        <f>H56*(1-0.011804008908686)</f>
        <v>0</v>
      </c>
      <c r="AP56" s="60" t="s">
        <v>121</v>
      </c>
      <c r="AU56" s="36">
        <f>AV56+AW56</f>
        <v>0</v>
      </c>
      <c r="AV56" s="36">
        <f>G56*AN56</f>
        <v>0</v>
      </c>
      <c r="AW56" s="36">
        <f>G56*AO56</f>
        <v>0</v>
      </c>
      <c r="AX56" s="62" t="s">
        <v>624</v>
      </c>
      <c r="AY56" s="62" t="s">
        <v>649</v>
      </c>
      <c r="AZ56" s="59" t="s">
        <v>662</v>
      </c>
      <c r="BB56" s="36">
        <f>AV56+AW56</f>
        <v>0</v>
      </c>
      <c r="BC56" s="36">
        <f>H56/(100-BD56)*100</f>
        <v>0</v>
      </c>
      <c r="BD56" s="36">
        <v>0</v>
      </c>
      <c r="BE56" s="36">
        <f>56</f>
        <v>56</v>
      </c>
      <c r="BG56" s="54">
        <f>G56*AN56</f>
        <v>0</v>
      </c>
      <c r="BH56" s="54">
        <f>G56*AO56</f>
        <v>0</v>
      </c>
      <c r="BI56" s="54">
        <f>G56*H56</f>
        <v>0</v>
      </c>
    </row>
    <row r="57" spans="1:61" ht="12.75">
      <c r="A57" s="45" t="s">
        <v>144</v>
      </c>
      <c r="B57" s="45" t="s">
        <v>280</v>
      </c>
      <c r="C57" s="162" t="s">
        <v>448</v>
      </c>
      <c r="D57" s="163"/>
      <c r="E57" s="163"/>
      <c r="F57" s="45" t="s">
        <v>594</v>
      </c>
      <c r="G57" s="55">
        <v>4</v>
      </c>
      <c r="H57" s="55">
        <v>0</v>
      </c>
      <c r="I57" s="55">
        <f>G57*AN57</f>
        <v>0</v>
      </c>
      <c r="J57" s="55">
        <f>G57*AO57</f>
        <v>0</v>
      </c>
      <c r="K57" s="55">
        <f>G57*H57</f>
        <v>0</v>
      </c>
      <c r="Y57" s="36">
        <f>IF(AP57="5",BI57,0)</f>
        <v>0</v>
      </c>
      <c r="AA57" s="36">
        <f>IF(AP57="1",BG57,0)</f>
        <v>0</v>
      </c>
      <c r="AB57" s="36">
        <f>IF(AP57="1",BH57,0)</f>
        <v>0</v>
      </c>
      <c r="AC57" s="36">
        <f>IF(AP57="7",BG57,0)</f>
        <v>0</v>
      </c>
      <c r="AD57" s="36">
        <f>IF(AP57="7",BH57,0)</f>
        <v>0</v>
      </c>
      <c r="AE57" s="36">
        <f>IF(AP57="2",BG57,0)</f>
        <v>0</v>
      </c>
      <c r="AF57" s="36">
        <f>IF(AP57="2",BH57,0)</f>
        <v>0</v>
      </c>
      <c r="AG57" s="36">
        <f>IF(AP57="0",BI57,0)</f>
        <v>0</v>
      </c>
      <c r="AH57" s="59" t="s">
        <v>71</v>
      </c>
      <c r="AI57" s="55">
        <f>IF(AM57=0,K57,0)</f>
        <v>0</v>
      </c>
      <c r="AJ57" s="55">
        <f>IF(AM57=15,K57,0)</f>
        <v>0</v>
      </c>
      <c r="AK57" s="55">
        <f>IF(AM57=21,K57,0)</f>
        <v>0</v>
      </c>
      <c r="AM57" s="36">
        <v>21</v>
      </c>
      <c r="AN57" s="36">
        <f>H57*1</f>
        <v>0</v>
      </c>
      <c r="AO57" s="36">
        <f>H57*(1-1)</f>
        <v>0</v>
      </c>
      <c r="AP57" s="61" t="s">
        <v>121</v>
      </c>
      <c r="AU57" s="36">
        <f>AV57+AW57</f>
        <v>0</v>
      </c>
      <c r="AV57" s="36">
        <f>G57*AN57</f>
        <v>0</v>
      </c>
      <c r="AW57" s="36">
        <f>G57*AO57</f>
        <v>0</v>
      </c>
      <c r="AX57" s="62" t="s">
        <v>624</v>
      </c>
      <c r="AY57" s="62" t="s">
        <v>649</v>
      </c>
      <c r="AZ57" s="59" t="s">
        <v>662</v>
      </c>
      <c r="BB57" s="36">
        <f>AV57+AW57</f>
        <v>0</v>
      </c>
      <c r="BC57" s="36">
        <f>H57/(100-BD57)*100</f>
        <v>0</v>
      </c>
      <c r="BD57" s="36">
        <v>0</v>
      </c>
      <c r="BE57" s="36">
        <f>57</f>
        <v>57</v>
      </c>
      <c r="BG57" s="55">
        <f>G57*AN57</f>
        <v>0</v>
      </c>
      <c r="BH57" s="55">
        <f>G57*AO57</f>
        <v>0</v>
      </c>
      <c r="BI57" s="55">
        <f>G57*H57</f>
        <v>0</v>
      </c>
    </row>
    <row r="58" spans="1:61" ht="12.75">
      <c r="A58" s="44" t="s">
        <v>145</v>
      </c>
      <c r="B58" s="44" t="s">
        <v>281</v>
      </c>
      <c r="C58" s="160" t="s">
        <v>449</v>
      </c>
      <c r="D58" s="161"/>
      <c r="E58" s="161"/>
      <c r="F58" s="44" t="s">
        <v>592</v>
      </c>
      <c r="G58" s="54">
        <v>0.02</v>
      </c>
      <c r="H58" s="54">
        <v>0</v>
      </c>
      <c r="I58" s="54">
        <f>G58*AN58</f>
        <v>0</v>
      </c>
      <c r="J58" s="54">
        <f>G58*AO58</f>
        <v>0</v>
      </c>
      <c r="K58" s="54">
        <f>G58*H58</f>
        <v>0</v>
      </c>
      <c r="Y58" s="36">
        <f>IF(AP58="5",BI58,0)</f>
        <v>0</v>
      </c>
      <c r="AA58" s="36">
        <f>IF(AP58="1",BG58,0)</f>
        <v>0</v>
      </c>
      <c r="AB58" s="36">
        <f>IF(AP58="1",BH58,0)</f>
        <v>0</v>
      </c>
      <c r="AC58" s="36">
        <f>IF(AP58="7",BG58,0)</f>
        <v>0</v>
      </c>
      <c r="AD58" s="36">
        <f>IF(AP58="7",BH58,0)</f>
        <v>0</v>
      </c>
      <c r="AE58" s="36">
        <f>IF(AP58="2",BG58,0)</f>
        <v>0</v>
      </c>
      <c r="AF58" s="36">
        <f>IF(AP58="2",BH58,0)</f>
        <v>0</v>
      </c>
      <c r="AG58" s="36">
        <f>IF(AP58="0",BI58,0)</f>
        <v>0</v>
      </c>
      <c r="AH58" s="59" t="s">
        <v>71</v>
      </c>
      <c r="AI58" s="54">
        <f>IF(AM58=0,K58,0)</f>
        <v>0</v>
      </c>
      <c r="AJ58" s="54">
        <f>IF(AM58=15,K58,0)</f>
        <v>0</v>
      </c>
      <c r="AK58" s="54">
        <f>IF(AM58=21,K58,0)</f>
        <v>0</v>
      </c>
      <c r="AM58" s="36">
        <v>21</v>
      </c>
      <c r="AN58" s="36">
        <f>H58*0</f>
        <v>0</v>
      </c>
      <c r="AO58" s="36">
        <f>H58*(1-0)</f>
        <v>0</v>
      </c>
      <c r="AP58" s="60" t="s">
        <v>120</v>
      </c>
      <c r="AU58" s="36">
        <f>AV58+AW58</f>
        <v>0</v>
      </c>
      <c r="AV58" s="36">
        <f>G58*AN58</f>
        <v>0</v>
      </c>
      <c r="AW58" s="36">
        <f>G58*AO58</f>
        <v>0</v>
      </c>
      <c r="AX58" s="62" t="s">
        <v>624</v>
      </c>
      <c r="AY58" s="62" t="s">
        <v>649</v>
      </c>
      <c r="AZ58" s="59" t="s">
        <v>662</v>
      </c>
      <c r="BB58" s="36">
        <f>AV58+AW58</f>
        <v>0</v>
      </c>
      <c r="BC58" s="36">
        <f>H58/(100-BD58)*100</f>
        <v>0</v>
      </c>
      <c r="BD58" s="36">
        <v>0</v>
      </c>
      <c r="BE58" s="36">
        <f>58</f>
        <v>58</v>
      </c>
      <c r="BG58" s="54">
        <f>G58*AN58</f>
        <v>0</v>
      </c>
      <c r="BH58" s="54">
        <f>G58*AO58</f>
        <v>0</v>
      </c>
      <c r="BI58" s="54">
        <f>G58*H58</f>
        <v>0</v>
      </c>
    </row>
    <row r="59" spans="1:46" ht="12.75">
      <c r="A59" s="43"/>
      <c r="B59" s="51" t="s">
        <v>282</v>
      </c>
      <c r="C59" s="158" t="s">
        <v>450</v>
      </c>
      <c r="D59" s="159"/>
      <c r="E59" s="159"/>
      <c r="F59" s="43" t="s">
        <v>69</v>
      </c>
      <c r="G59" s="43" t="s">
        <v>69</v>
      </c>
      <c r="H59" s="43" t="s">
        <v>69</v>
      </c>
      <c r="I59" s="64">
        <f>SUM(I60:I65)</f>
        <v>0</v>
      </c>
      <c r="J59" s="64">
        <f>SUM(J60:J65)</f>
        <v>0</v>
      </c>
      <c r="K59" s="64">
        <f>SUM(K60:K65)</f>
        <v>0</v>
      </c>
      <c r="AH59" s="59" t="s">
        <v>71</v>
      </c>
      <c r="AR59" s="64">
        <f>SUM(AI60:AI65)</f>
        <v>0</v>
      </c>
      <c r="AS59" s="64">
        <f>SUM(AJ60:AJ65)</f>
        <v>0</v>
      </c>
      <c r="AT59" s="64">
        <f>SUM(AK60:AK65)</f>
        <v>0</v>
      </c>
    </row>
    <row r="60" spans="1:61" ht="12.75">
      <c r="A60" s="44" t="s">
        <v>146</v>
      </c>
      <c r="B60" s="44" t="s">
        <v>283</v>
      </c>
      <c r="C60" s="160" t="s">
        <v>451</v>
      </c>
      <c r="D60" s="161"/>
      <c r="E60" s="161"/>
      <c r="F60" s="44" t="s">
        <v>595</v>
      </c>
      <c r="G60" s="54">
        <v>52.55</v>
      </c>
      <c r="H60" s="54">
        <v>0</v>
      </c>
      <c r="I60" s="54">
        <f aca="true" t="shared" si="44" ref="I60:I65">G60*AN60</f>
        <v>0</v>
      </c>
      <c r="J60" s="54">
        <f aca="true" t="shared" si="45" ref="J60:J65">G60*AO60</f>
        <v>0</v>
      </c>
      <c r="K60" s="54">
        <f aca="true" t="shared" si="46" ref="K60:K65">G60*H60</f>
        <v>0</v>
      </c>
      <c r="Y60" s="36">
        <f aca="true" t="shared" si="47" ref="Y60:Y65">IF(AP60="5",BI60,0)</f>
        <v>0</v>
      </c>
      <c r="AA60" s="36">
        <f aca="true" t="shared" si="48" ref="AA60:AA65">IF(AP60="1",BG60,0)</f>
        <v>0</v>
      </c>
      <c r="AB60" s="36">
        <f aca="true" t="shared" si="49" ref="AB60:AB65">IF(AP60="1",BH60,0)</f>
        <v>0</v>
      </c>
      <c r="AC60" s="36">
        <f aca="true" t="shared" si="50" ref="AC60:AC65">IF(AP60="7",BG60,0)</f>
        <v>0</v>
      </c>
      <c r="AD60" s="36">
        <f aca="true" t="shared" si="51" ref="AD60:AD65">IF(AP60="7",BH60,0)</f>
        <v>0</v>
      </c>
      <c r="AE60" s="36">
        <f aca="true" t="shared" si="52" ref="AE60:AE65">IF(AP60="2",BG60,0)</f>
        <v>0</v>
      </c>
      <c r="AF60" s="36">
        <f aca="true" t="shared" si="53" ref="AF60:AF65">IF(AP60="2",BH60,0)</f>
        <v>0</v>
      </c>
      <c r="AG60" s="36">
        <f aca="true" t="shared" si="54" ref="AG60:AG65">IF(AP60="0",BI60,0)</f>
        <v>0</v>
      </c>
      <c r="AH60" s="59" t="s">
        <v>71</v>
      </c>
      <c r="AI60" s="54">
        <f aca="true" t="shared" si="55" ref="AI60:AI65">IF(AM60=0,K60,0)</f>
        <v>0</v>
      </c>
      <c r="AJ60" s="54">
        <f aca="true" t="shared" si="56" ref="AJ60:AJ65">IF(AM60=15,K60,0)</f>
        <v>0</v>
      </c>
      <c r="AK60" s="54">
        <f aca="true" t="shared" si="57" ref="AK60:AK65">IF(AM60=21,K60,0)</f>
        <v>0</v>
      </c>
      <c r="AM60" s="36">
        <v>21</v>
      </c>
      <c r="AN60" s="36">
        <f>H60*0.15665404040404</f>
        <v>0</v>
      </c>
      <c r="AO60" s="36">
        <f>H60*(1-0.15665404040404)</f>
        <v>0</v>
      </c>
      <c r="AP60" s="60" t="s">
        <v>121</v>
      </c>
      <c r="AU60" s="36">
        <f aca="true" t="shared" si="58" ref="AU60:AU65">AV60+AW60</f>
        <v>0</v>
      </c>
      <c r="AV60" s="36">
        <f aca="true" t="shared" si="59" ref="AV60:AV65">G60*AN60</f>
        <v>0</v>
      </c>
      <c r="AW60" s="36">
        <f aca="true" t="shared" si="60" ref="AW60:AW65">G60*AO60</f>
        <v>0</v>
      </c>
      <c r="AX60" s="62" t="s">
        <v>625</v>
      </c>
      <c r="AY60" s="62" t="s">
        <v>650</v>
      </c>
      <c r="AZ60" s="59" t="s">
        <v>662</v>
      </c>
      <c r="BB60" s="36">
        <f aca="true" t="shared" si="61" ref="BB60:BB65">AV60+AW60</f>
        <v>0</v>
      </c>
      <c r="BC60" s="36">
        <f aca="true" t="shared" si="62" ref="BC60:BC65">H60/(100-BD60)*100</f>
        <v>0</v>
      </c>
      <c r="BD60" s="36">
        <v>0</v>
      </c>
      <c r="BE60" s="36">
        <f>60</f>
        <v>60</v>
      </c>
      <c r="BG60" s="54">
        <f aca="true" t="shared" si="63" ref="BG60:BG65">G60*AN60</f>
        <v>0</v>
      </c>
      <c r="BH60" s="54">
        <f aca="true" t="shared" si="64" ref="BH60:BH65">G60*AO60</f>
        <v>0</v>
      </c>
      <c r="BI60" s="54">
        <f aca="true" t="shared" si="65" ref="BI60:BI65">G60*H60</f>
        <v>0</v>
      </c>
    </row>
    <row r="61" spans="1:61" ht="12.75">
      <c r="A61" s="45" t="s">
        <v>147</v>
      </c>
      <c r="B61" s="45" t="s">
        <v>284</v>
      </c>
      <c r="C61" s="162" t="s">
        <v>452</v>
      </c>
      <c r="D61" s="163"/>
      <c r="E61" s="163"/>
      <c r="F61" s="45" t="s">
        <v>595</v>
      </c>
      <c r="G61" s="55">
        <v>55.18</v>
      </c>
      <c r="H61" s="55">
        <v>0</v>
      </c>
      <c r="I61" s="55">
        <f t="shared" si="44"/>
        <v>0</v>
      </c>
      <c r="J61" s="55">
        <f t="shared" si="45"/>
        <v>0</v>
      </c>
      <c r="K61" s="55">
        <f t="shared" si="46"/>
        <v>0</v>
      </c>
      <c r="Y61" s="36">
        <f t="shared" si="47"/>
        <v>0</v>
      </c>
      <c r="AA61" s="36">
        <f t="shared" si="48"/>
        <v>0</v>
      </c>
      <c r="AB61" s="36">
        <f t="shared" si="49"/>
        <v>0</v>
      </c>
      <c r="AC61" s="36">
        <f t="shared" si="50"/>
        <v>0</v>
      </c>
      <c r="AD61" s="36">
        <f t="shared" si="51"/>
        <v>0</v>
      </c>
      <c r="AE61" s="36">
        <f t="shared" si="52"/>
        <v>0</v>
      </c>
      <c r="AF61" s="36">
        <f t="shared" si="53"/>
        <v>0</v>
      </c>
      <c r="AG61" s="36">
        <f t="shared" si="54"/>
        <v>0</v>
      </c>
      <c r="AH61" s="59" t="s">
        <v>71</v>
      </c>
      <c r="AI61" s="55">
        <f t="shared" si="55"/>
        <v>0</v>
      </c>
      <c r="AJ61" s="55">
        <f t="shared" si="56"/>
        <v>0</v>
      </c>
      <c r="AK61" s="55">
        <f t="shared" si="57"/>
        <v>0</v>
      </c>
      <c r="AM61" s="36">
        <v>21</v>
      </c>
      <c r="AN61" s="36">
        <f>H61*1</f>
        <v>0</v>
      </c>
      <c r="AO61" s="36">
        <f>H61*(1-1)</f>
        <v>0</v>
      </c>
      <c r="AP61" s="61" t="s">
        <v>121</v>
      </c>
      <c r="AU61" s="36">
        <f t="shared" si="58"/>
        <v>0</v>
      </c>
      <c r="AV61" s="36">
        <f t="shared" si="59"/>
        <v>0</v>
      </c>
      <c r="AW61" s="36">
        <f t="shared" si="60"/>
        <v>0</v>
      </c>
      <c r="AX61" s="62" t="s">
        <v>625</v>
      </c>
      <c r="AY61" s="62" t="s">
        <v>650</v>
      </c>
      <c r="AZ61" s="59" t="s">
        <v>662</v>
      </c>
      <c r="BB61" s="36">
        <f t="shared" si="61"/>
        <v>0</v>
      </c>
      <c r="BC61" s="36">
        <f t="shared" si="62"/>
        <v>0</v>
      </c>
      <c r="BD61" s="36">
        <v>0</v>
      </c>
      <c r="BE61" s="36">
        <f>61</f>
        <v>61</v>
      </c>
      <c r="BG61" s="55">
        <f t="shared" si="63"/>
        <v>0</v>
      </c>
      <c r="BH61" s="55">
        <f t="shared" si="64"/>
        <v>0</v>
      </c>
      <c r="BI61" s="55">
        <f t="shared" si="65"/>
        <v>0</v>
      </c>
    </row>
    <row r="62" spans="1:61" ht="12.75">
      <c r="A62" s="44" t="s">
        <v>148</v>
      </c>
      <c r="B62" s="44" t="s">
        <v>285</v>
      </c>
      <c r="C62" s="160" t="s">
        <v>453</v>
      </c>
      <c r="D62" s="161"/>
      <c r="E62" s="161"/>
      <c r="F62" s="44" t="s">
        <v>593</v>
      </c>
      <c r="G62" s="54">
        <v>63.5</v>
      </c>
      <c r="H62" s="54">
        <v>0</v>
      </c>
      <c r="I62" s="54">
        <f t="shared" si="44"/>
        <v>0</v>
      </c>
      <c r="J62" s="54">
        <f t="shared" si="45"/>
        <v>0</v>
      </c>
      <c r="K62" s="54">
        <f t="shared" si="46"/>
        <v>0</v>
      </c>
      <c r="Y62" s="36">
        <f t="shared" si="47"/>
        <v>0</v>
      </c>
      <c r="AA62" s="36">
        <f t="shared" si="48"/>
        <v>0</v>
      </c>
      <c r="AB62" s="36">
        <f t="shared" si="49"/>
        <v>0</v>
      </c>
      <c r="AC62" s="36">
        <f t="shared" si="50"/>
        <v>0</v>
      </c>
      <c r="AD62" s="36">
        <f t="shared" si="51"/>
        <v>0</v>
      </c>
      <c r="AE62" s="36">
        <f t="shared" si="52"/>
        <v>0</v>
      </c>
      <c r="AF62" s="36">
        <f t="shared" si="53"/>
        <v>0</v>
      </c>
      <c r="AG62" s="36">
        <f t="shared" si="54"/>
        <v>0</v>
      </c>
      <c r="AH62" s="59" t="s">
        <v>71</v>
      </c>
      <c r="AI62" s="54">
        <f t="shared" si="55"/>
        <v>0</v>
      </c>
      <c r="AJ62" s="54">
        <f t="shared" si="56"/>
        <v>0</v>
      </c>
      <c r="AK62" s="54">
        <f t="shared" si="57"/>
        <v>0</v>
      </c>
      <c r="AM62" s="36">
        <v>21</v>
      </c>
      <c r="AN62" s="36">
        <f>H62*0.37725274660954</f>
        <v>0</v>
      </c>
      <c r="AO62" s="36">
        <f>H62*(1-0.37725274660954)</f>
        <v>0</v>
      </c>
      <c r="AP62" s="60" t="s">
        <v>121</v>
      </c>
      <c r="AU62" s="36">
        <f t="shared" si="58"/>
        <v>0</v>
      </c>
      <c r="AV62" s="36">
        <f t="shared" si="59"/>
        <v>0</v>
      </c>
      <c r="AW62" s="36">
        <f t="shared" si="60"/>
        <v>0</v>
      </c>
      <c r="AX62" s="62" t="s">
        <v>625</v>
      </c>
      <c r="AY62" s="62" t="s">
        <v>650</v>
      </c>
      <c r="AZ62" s="59" t="s">
        <v>662</v>
      </c>
      <c r="BB62" s="36">
        <f t="shared" si="61"/>
        <v>0</v>
      </c>
      <c r="BC62" s="36">
        <f t="shared" si="62"/>
        <v>0</v>
      </c>
      <c r="BD62" s="36">
        <v>0</v>
      </c>
      <c r="BE62" s="36">
        <f>62</f>
        <v>62</v>
      </c>
      <c r="BG62" s="54">
        <f t="shared" si="63"/>
        <v>0</v>
      </c>
      <c r="BH62" s="54">
        <f t="shared" si="64"/>
        <v>0</v>
      </c>
      <c r="BI62" s="54">
        <f t="shared" si="65"/>
        <v>0</v>
      </c>
    </row>
    <row r="63" spans="1:61" ht="12.75">
      <c r="A63" s="44" t="s">
        <v>149</v>
      </c>
      <c r="B63" s="44" t="s">
        <v>286</v>
      </c>
      <c r="C63" s="160" t="s">
        <v>454</v>
      </c>
      <c r="D63" s="161"/>
      <c r="E63" s="161"/>
      <c r="F63" s="44" t="s">
        <v>593</v>
      </c>
      <c r="G63" s="54">
        <v>13.8</v>
      </c>
      <c r="H63" s="54">
        <v>0</v>
      </c>
      <c r="I63" s="54">
        <f t="shared" si="44"/>
        <v>0</v>
      </c>
      <c r="J63" s="54">
        <f t="shared" si="45"/>
        <v>0</v>
      </c>
      <c r="K63" s="54">
        <f t="shared" si="46"/>
        <v>0</v>
      </c>
      <c r="Y63" s="36">
        <f t="shared" si="47"/>
        <v>0</v>
      </c>
      <c r="AA63" s="36">
        <f t="shared" si="48"/>
        <v>0</v>
      </c>
      <c r="AB63" s="36">
        <f t="shared" si="49"/>
        <v>0</v>
      </c>
      <c r="AC63" s="36">
        <f t="shared" si="50"/>
        <v>0</v>
      </c>
      <c r="AD63" s="36">
        <f t="shared" si="51"/>
        <v>0</v>
      </c>
      <c r="AE63" s="36">
        <f t="shared" si="52"/>
        <v>0</v>
      </c>
      <c r="AF63" s="36">
        <f t="shared" si="53"/>
        <v>0</v>
      </c>
      <c r="AG63" s="36">
        <f t="shared" si="54"/>
        <v>0</v>
      </c>
      <c r="AH63" s="59" t="s">
        <v>71</v>
      </c>
      <c r="AI63" s="54">
        <f t="shared" si="55"/>
        <v>0</v>
      </c>
      <c r="AJ63" s="54">
        <f t="shared" si="56"/>
        <v>0</v>
      </c>
      <c r="AK63" s="54">
        <f t="shared" si="57"/>
        <v>0</v>
      </c>
      <c r="AM63" s="36">
        <v>21</v>
      </c>
      <c r="AN63" s="36">
        <f>H63*0</f>
        <v>0</v>
      </c>
      <c r="AO63" s="36">
        <f>H63*(1-0)</f>
        <v>0</v>
      </c>
      <c r="AP63" s="60" t="s">
        <v>121</v>
      </c>
      <c r="AU63" s="36">
        <f t="shared" si="58"/>
        <v>0</v>
      </c>
      <c r="AV63" s="36">
        <f t="shared" si="59"/>
        <v>0</v>
      </c>
      <c r="AW63" s="36">
        <f t="shared" si="60"/>
        <v>0</v>
      </c>
      <c r="AX63" s="62" t="s">
        <v>625</v>
      </c>
      <c r="AY63" s="62" t="s">
        <v>650</v>
      </c>
      <c r="AZ63" s="59" t="s">
        <v>662</v>
      </c>
      <c r="BB63" s="36">
        <f t="shared" si="61"/>
        <v>0</v>
      </c>
      <c r="BC63" s="36">
        <f t="shared" si="62"/>
        <v>0</v>
      </c>
      <c r="BD63" s="36">
        <v>0</v>
      </c>
      <c r="BE63" s="36">
        <f>63</f>
        <v>63</v>
      </c>
      <c r="BG63" s="54">
        <f t="shared" si="63"/>
        <v>0</v>
      </c>
      <c r="BH63" s="54">
        <f t="shared" si="64"/>
        <v>0</v>
      </c>
      <c r="BI63" s="54">
        <f t="shared" si="65"/>
        <v>0</v>
      </c>
    </row>
    <row r="64" spans="1:61" ht="12.75">
      <c r="A64" s="44" t="s">
        <v>150</v>
      </c>
      <c r="B64" s="44" t="s">
        <v>287</v>
      </c>
      <c r="C64" s="160" t="s">
        <v>455</v>
      </c>
      <c r="D64" s="161"/>
      <c r="E64" s="161"/>
      <c r="F64" s="44" t="s">
        <v>593</v>
      </c>
      <c r="G64" s="54">
        <v>13.8</v>
      </c>
      <c r="H64" s="54">
        <v>0</v>
      </c>
      <c r="I64" s="54">
        <f t="shared" si="44"/>
        <v>0</v>
      </c>
      <c r="J64" s="54">
        <f t="shared" si="45"/>
        <v>0</v>
      </c>
      <c r="K64" s="54">
        <f t="shared" si="46"/>
        <v>0</v>
      </c>
      <c r="Y64" s="36">
        <f t="shared" si="47"/>
        <v>0</v>
      </c>
      <c r="AA64" s="36">
        <f t="shared" si="48"/>
        <v>0</v>
      </c>
      <c r="AB64" s="36">
        <f t="shared" si="49"/>
        <v>0</v>
      </c>
      <c r="AC64" s="36">
        <f t="shared" si="50"/>
        <v>0</v>
      </c>
      <c r="AD64" s="36">
        <f t="shared" si="51"/>
        <v>0</v>
      </c>
      <c r="AE64" s="36">
        <f t="shared" si="52"/>
        <v>0</v>
      </c>
      <c r="AF64" s="36">
        <f t="shared" si="53"/>
        <v>0</v>
      </c>
      <c r="AG64" s="36">
        <f t="shared" si="54"/>
        <v>0</v>
      </c>
      <c r="AH64" s="59" t="s">
        <v>71</v>
      </c>
      <c r="AI64" s="54">
        <f t="shared" si="55"/>
        <v>0</v>
      </c>
      <c r="AJ64" s="54">
        <f t="shared" si="56"/>
        <v>0</v>
      </c>
      <c r="AK64" s="54">
        <f t="shared" si="57"/>
        <v>0</v>
      </c>
      <c r="AM64" s="36">
        <v>21</v>
      </c>
      <c r="AN64" s="36">
        <f>H64*0.599255813953488</f>
        <v>0</v>
      </c>
      <c r="AO64" s="36">
        <f>H64*(1-0.599255813953488)</f>
        <v>0</v>
      </c>
      <c r="AP64" s="60" t="s">
        <v>121</v>
      </c>
      <c r="AU64" s="36">
        <f t="shared" si="58"/>
        <v>0</v>
      </c>
      <c r="AV64" s="36">
        <f t="shared" si="59"/>
        <v>0</v>
      </c>
      <c r="AW64" s="36">
        <f t="shared" si="60"/>
        <v>0</v>
      </c>
      <c r="AX64" s="62" t="s">
        <v>625</v>
      </c>
      <c r="AY64" s="62" t="s">
        <v>650</v>
      </c>
      <c r="AZ64" s="59" t="s">
        <v>662</v>
      </c>
      <c r="BB64" s="36">
        <f t="shared" si="61"/>
        <v>0</v>
      </c>
      <c r="BC64" s="36">
        <f t="shared" si="62"/>
        <v>0</v>
      </c>
      <c r="BD64" s="36">
        <v>0</v>
      </c>
      <c r="BE64" s="36">
        <f>64</f>
        <v>64</v>
      </c>
      <c r="BG64" s="54">
        <f t="shared" si="63"/>
        <v>0</v>
      </c>
      <c r="BH64" s="54">
        <f t="shared" si="64"/>
        <v>0</v>
      </c>
      <c r="BI64" s="54">
        <f t="shared" si="65"/>
        <v>0</v>
      </c>
    </row>
    <row r="65" spans="1:61" ht="12.75">
      <c r="A65" s="44" t="s">
        <v>151</v>
      </c>
      <c r="B65" s="44" t="s">
        <v>288</v>
      </c>
      <c r="C65" s="160" t="s">
        <v>456</v>
      </c>
      <c r="D65" s="161"/>
      <c r="E65" s="161"/>
      <c r="F65" s="44" t="s">
        <v>592</v>
      </c>
      <c r="G65" s="54">
        <v>1.44</v>
      </c>
      <c r="H65" s="54">
        <v>0</v>
      </c>
      <c r="I65" s="54">
        <f t="shared" si="44"/>
        <v>0</v>
      </c>
      <c r="J65" s="54">
        <f t="shared" si="45"/>
        <v>0</v>
      </c>
      <c r="K65" s="54">
        <f t="shared" si="46"/>
        <v>0</v>
      </c>
      <c r="Y65" s="36">
        <f t="shared" si="47"/>
        <v>0</v>
      </c>
      <c r="AA65" s="36">
        <f t="shared" si="48"/>
        <v>0</v>
      </c>
      <c r="AB65" s="36">
        <f t="shared" si="49"/>
        <v>0</v>
      </c>
      <c r="AC65" s="36">
        <f t="shared" si="50"/>
        <v>0</v>
      </c>
      <c r="AD65" s="36">
        <f t="shared" si="51"/>
        <v>0</v>
      </c>
      <c r="AE65" s="36">
        <f t="shared" si="52"/>
        <v>0</v>
      </c>
      <c r="AF65" s="36">
        <f t="shared" si="53"/>
        <v>0</v>
      </c>
      <c r="AG65" s="36">
        <f t="shared" si="54"/>
        <v>0</v>
      </c>
      <c r="AH65" s="59" t="s">
        <v>71</v>
      </c>
      <c r="AI65" s="54">
        <f t="shared" si="55"/>
        <v>0</v>
      </c>
      <c r="AJ65" s="54">
        <f t="shared" si="56"/>
        <v>0</v>
      </c>
      <c r="AK65" s="54">
        <f t="shared" si="57"/>
        <v>0</v>
      </c>
      <c r="AM65" s="36">
        <v>21</v>
      </c>
      <c r="AN65" s="36">
        <f>H65*0</f>
        <v>0</v>
      </c>
      <c r="AO65" s="36">
        <f>H65*(1-0)</f>
        <v>0</v>
      </c>
      <c r="AP65" s="60" t="s">
        <v>120</v>
      </c>
      <c r="AU65" s="36">
        <f t="shared" si="58"/>
        <v>0</v>
      </c>
      <c r="AV65" s="36">
        <f t="shared" si="59"/>
        <v>0</v>
      </c>
      <c r="AW65" s="36">
        <f t="shared" si="60"/>
        <v>0</v>
      </c>
      <c r="AX65" s="62" t="s">
        <v>625</v>
      </c>
      <c r="AY65" s="62" t="s">
        <v>650</v>
      </c>
      <c r="AZ65" s="59" t="s">
        <v>662</v>
      </c>
      <c r="BB65" s="36">
        <f t="shared" si="61"/>
        <v>0</v>
      </c>
      <c r="BC65" s="36">
        <f t="shared" si="62"/>
        <v>0</v>
      </c>
      <c r="BD65" s="36">
        <v>0</v>
      </c>
      <c r="BE65" s="36">
        <f>65</f>
        <v>65</v>
      </c>
      <c r="BG65" s="54">
        <f t="shared" si="63"/>
        <v>0</v>
      </c>
      <c r="BH65" s="54">
        <f t="shared" si="64"/>
        <v>0</v>
      </c>
      <c r="BI65" s="54">
        <f t="shared" si="65"/>
        <v>0</v>
      </c>
    </row>
    <row r="66" spans="1:46" ht="12.75">
      <c r="A66" s="43"/>
      <c r="B66" s="51" t="s">
        <v>289</v>
      </c>
      <c r="C66" s="158" t="s">
        <v>457</v>
      </c>
      <c r="D66" s="159"/>
      <c r="E66" s="159"/>
      <c r="F66" s="43" t="s">
        <v>69</v>
      </c>
      <c r="G66" s="43" t="s">
        <v>69</v>
      </c>
      <c r="H66" s="43" t="s">
        <v>69</v>
      </c>
      <c r="I66" s="64">
        <f>SUM(I67:I69)</f>
        <v>0</v>
      </c>
      <c r="J66" s="64">
        <f>SUM(J67:J69)</f>
        <v>0</v>
      </c>
      <c r="K66" s="64">
        <f>SUM(K67:K69)</f>
        <v>0</v>
      </c>
      <c r="AH66" s="59" t="s">
        <v>71</v>
      </c>
      <c r="AR66" s="64">
        <f>SUM(AI67:AI69)</f>
        <v>0</v>
      </c>
      <c r="AS66" s="64">
        <f>SUM(AJ67:AJ69)</f>
        <v>0</v>
      </c>
      <c r="AT66" s="64">
        <f>SUM(AK67:AK69)</f>
        <v>0</v>
      </c>
    </row>
    <row r="67" spans="1:61" ht="12.75">
      <c r="A67" s="44" t="s">
        <v>152</v>
      </c>
      <c r="B67" s="44" t="s">
        <v>290</v>
      </c>
      <c r="C67" s="160" t="s">
        <v>458</v>
      </c>
      <c r="D67" s="161"/>
      <c r="E67" s="161"/>
      <c r="F67" s="44" t="s">
        <v>593</v>
      </c>
      <c r="G67" s="54">
        <v>15</v>
      </c>
      <c r="H67" s="54">
        <v>0</v>
      </c>
      <c r="I67" s="54">
        <f>G67*AN67</f>
        <v>0</v>
      </c>
      <c r="J67" s="54">
        <f>G67*AO67</f>
        <v>0</v>
      </c>
      <c r="K67" s="54">
        <f>G67*H67</f>
        <v>0</v>
      </c>
      <c r="Y67" s="36">
        <f>IF(AP67="5",BI67,0)</f>
        <v>0</v>
      </c>
      <c r="AA67" s="36">
        <f>IF(AP67="1",BG67,0)</f>
        <v>0</v>
      </c>
      <c r="AB67" s="36">
        <f>IF(AP67="1",BH67,0)</f>
        <v>0</v>
      </c>
      <c r="AC67" s="36">
        <f>IF(AP67="7",BG67,0)</f>
        <v>0</v>
      </c>
      <c r="AD67" s="36">
        <f>IF(AP67="7",BH67,0)</f>
        <v>0</v>
      </c>
      <c r="AE67" s="36">
        <f>IF(AP67="2",BG67,0)</f>
        <v>0</v>
      </c>
      <c r="AF67" s="36">
        <f>IF(AP67="2",BH67,0)</f>
        <v>0</v>
      </c>
      <c r="AG67" s="36">
        <f>IF(AP67="0",BI67,0)</f>
        <v>0</v>
      </c>
      <c r="AH67" s="59" t="s">
        <v>71</v>
      </c>
      <c r="AI67" s="54">
        <f>IF(AM67=0,K67,0)</f>
        <v>0</v>
      </c>
      <c r="AJ67" s="54">
        <f>IF(AM67=15,K67,0)</f>
        <v>0</v>
      </c>
      <c r="AK67" s="54">
        <f>IF(AM67=21,K67,0)</f>
        <v>0</v>
      </c>
      <c r="AM67" s="36">
        <v>21</v>
      </c>
      <c r="AN67" s="36">
        <f>H67*0.311635220125786</f>
        <v>0</v>
      </c>
      <c r="AO67" s="36">
        <f>H67*(1-0.311635220125786)</f>
        <v>0</v>
      </c>
      <c r="AP67" s="60" t="s">
        <v>121</v>
      </c>
      <c r="AU67" s="36">
        <f>AV67+AW67</f>
        <v>0</v>
      </c>
      <c r="AV67" s="36">
        <f>G67*AN67</f>
        <v>0</v>
      </c>
      <c r="AW67" s="36">
        <f>G67*AO67</f>
        <v>0</v>
      </c>
      <c r="AX67" s="62" t="s">
        <v>626</v>
      </c>
      <c r="AY67" s="62" t="s">
        <v>650</v>
      </c>
      <c r="AZ67" s="59" t="s">
        <v>662</v>
      </c>
      <c r="BB67" s="36">
        <f>AV67+AW67</f>
        <v>0</v>
      </c>
      <c r="BC67" s="36">
        <f>H67/(100-BD67)*100</f>
        <v>0</v>
      </c>
      <c r="BD67" s="36">
        <v>0</v>
      </c>
      <c r="BE67" s="36">
        <f>67</f>
        <v>67</v>
      </c>
      <c r="BG67" s="54">
        <f>G67*AN67</f>
        <v>0</v>
      </c>
      <c r="BH67" s="54">
        <f>G67*AO67</f>
        <v>0</v>
      </c>
      <c r="BI67" s="54">
        <f>G67*H67</f>
        <v>0</v>
      </c>
    </row>
    <row r="68" spans="3:5" ht="12.75">
      <c r="C68" s="164" t="s">
        <v>459</v>
      </c>
      <c r="D68" s="165"/>
      <c r="E68" s="165"/>
    </row>
    <row r="69" spans="1:61" ht="12.75">
      <c r="A69" s="44" t="s">
        <v>153</v>
      </c>
      <c r="B69" s="44" t="s">
        <v>291</v>
      </c>
      <c r="C69" s="160" t="s">
        <v>460</v>
      </c>
      <c r="D69" s="161"/>
      <c r="E69" s="161"/>
      <c r="F69" s="44" t="s">
        <v>592</v>
      </c>
      <c r="G69" s="54">
        <v>0.01</v>
      </c>
      <c r="H69" s="54">
        <v>0</v>
      </c>
      <c r="I69" s="54">
        <f>G69*AN69</f>
        <v>0</v>
      </c>
      <c r="J69" s="54">
        <f>G69*AO69</f>
        <v>0</v>
      </c>
      <c r="K69" s="54">
        <f>G69*H69</f>
        <v>0</v>
      </c>
      <c r="Y69" s="36">
        <f>IF(AP69="5",BI69,0)</f>
        <v>0</v>
      </c>
      <c r="AA69" s="36">
        <f>IF(AP69="1",BG69,0)</f>
        <v>0</v>
      </c>
      <c r="AB69" s="36">
        <f>IF(AP69="1",BH69,0)</f>
        <v>0</v>
      </c>
      <c r="AC69" s="36">
        <f>IF(AP69="7",BG69,0)</f>
        <v>0</v>
      </c>
      <c r="AD69" s="36">
        <f>IF(AP69="7",BH69,0)</f>
        <v>0</v>
      </c>
      <c r="AE69" s="36">
        <f>IF(AP69="2",BG69,0)</f>
        <v>0</v>
      </c>
      <c r="AF69" s="36">
        <f>IF(AP69="2",BH69,0)</f>
        <v>0</v>
      </c>
      <c r="AG69" s="36">
        <f>IF(AP69="0",BI69,0)</f>
        <v>0</v>
      </c>
      <c r="AH69" s="59" t="s">
        <v>71</v>
      </c>
      <c r="AI69" s="54">
        <f>IF(AM69=0,K69,0)</f>
        <v>0</v>
      </c>
      <c r="AJ69" s="54">
        <f>IF(AM69=15,K69,0)</f>
        <v>0</v>
      </c>
      <c r="AK69" s="54">
        <f>IF(AM69=21,K69,0)</f>
        <v>0</v>
      </c>
      <c r="AM69" s="36">
        <v>21</v>
      </c>
      <c r="AN69" s="36">
        <f>H69*0</f>
        <v>0</v>
      </c>
      <c r="AO69" s="36">
        <f>H69*(1-0)</f>
        <v>0</v>
      </c>
      <c r="AP69" s="60" t="s">
        <v>120</v>
      </c>
      <c r="AU69" s="36">
        <f>AV69+AW69</f>
        <v>0</v>
      </c>
      <c r="AV69" s="36">
        <f>G69*AN69</f>
        <v>0</v>
      </c>
      <c r="AW69" s="36">
        <f>G69*AO69</f>
        <v>0</v>
      </c>
      <c r="AX69" s="62" t="s">
        <v>626</v>
      </c>
      <c r="AY69" s="62" t="s">
        <v>650</v>
      </c>
      <c r="AZ69" s="59" t="s">
        <v>662</v>
      </c>
      <c r="BB69" s="36">
        <f>AV69+AW69</f>
        <v>0</v>
      </c>
      <c r="BC69" s="36">
        <f>H69/(100-BD69)*100</f>
        <v>0</v>
      </c>
      <c r="BD69" s="36">
        <v>0</v>
      </c>
      <c r="BE69" s="36">
        <f>69</f>
        <v>69</v>
      </c>
      <c r="BG69" s="54">
        <f>G69*AN69</f>
        <v>0</v>
      </c>
      <c r="BH69" s="54">
        <f>G69*AO69</f>
        <v>0</v>
      </c>
      <c r="BI69" s="54">
        <f>G69*H69</f>
        <v>0</v>
      </c>
    </row>
    <row r="70" spans="1:46" ht="12.75">
      <c r="A70" s="43"/>
      <c r="B70" s="51" t="s">
        <v>292</v>
      </c>
      <c r="C70" s="158" t="s">
        <v>461</v>
      </c>
      <c r="D70" s="159"/>
      <c r="E70" s="159"/>
      <c r="F70" s="43" t="s">
        <v>69</v>
      </c>
      <c r="G70" s="43" t="s">
        <v>69</v>
      </c>
      <c r="H70" s="43" t="s">
        <v>69</v>
      </c>
      <c r="I70" s="64">
        <f>SUM(I71:I78)</f>
        <v>0</v>
      </c>
      <c r="J70" s="64">
        <f>SUM(J71:J78)</f>
        <v>0</v>
      </c>
      <c r="K70" s="64">
        <f>SUM(K71:K78)</f>
        <v>0</v>
      </c>
      <c r="AH70" s="59" t="s">
        <v>71</v>
      </c>
      <c r="AR70" s="64">
        <f>SUM(AI71:AI78)</f>
        <v>0</v>
      </c>
      <c r="AS70" s="64">
        <f>SUM(AJ71:AJ78)</f>
        <v>0</v>
      </c>
      <c r="AT70" s="64">
        <f>SUM(AK71:AK78)</f>
        <v>0</v>
      </c>
    </row>
    <row r="71" spans="1:61" ht="12.75">
      <c r="A71" s="44" t="s">
        <v>154</v>
      </c>
      <c r="B71" s="44" t="s">
        <v>293</v>
      </c>
      <c r="C71" s="160" t="s">
        <v>462</v>
      </c>
      <c r="D71" s="161"/>
      <c r="E71" s="161"/>
      <c r="F71" s="44" t="s">
        <v>595</v>
      </c>
      <c r="G71" s="54">
        <v>103.05</v>
      </c>
      <c r="H71" s="54">
        <v>0</v>
      </c>
      <c r="I71" s="54">
        <f>G71*AN71</f>
        <v>0</v>
      </c>
      <c r="J71" s="54">
        <f>G71*AO71</f>
        <v>0</v>
      </c>
      <c r="K71" s="54">
        <f>G71*H71</f>
        <v>0</v>
      </c>
      <c r="Y71" s="36">
        <f>IF(AP71="5",BI71,0)</f>
        <v>0</v>
      </c>
      <c r="AA71" s="36">
        <f>IF(AP71="1",BG71,0)</f>
        <v>0</v>
      </c>
      <c r="AB71" s="36">
        <f>IF(AP71="1",BH71,0)</f>
        <v>0</v>
      </c>
      <c r="AC71" s="36">
        <f>IF(AP71="7",BG71,0)</f>
        <v>0</v>
      </c>
      <c r="AD71" s="36">
        <f>IF(AP71="7",BH71,0)</f>
        <v>0</v>
      </c>
      <c r="AE71" s="36">
        <f>IF(AP71="2",BG71,0)</f>
        <v>0</v>
      </c>
      <c r="AF71" s="36">
        <f>IF(AP71="2",BH71,0)</f>
        <v>0</v>
      </c>
      <c r="AG71" s="36">
        <f>IF(AP71="0",BI71,0)</f>
        <v>0</v>
      </c>
      <c r="AH71" s="59" t="s">
        <v>71</v>
      </c>
      <c r="AI71" s="54">
        <f>IF(AM71=0,K71,0)</f>
        <v>0</v>
      </c>
      <c r="AJ71" s="54">
        <f>IF(AM71=15,K71,0)</f>
        <v>0</v>
      </c>
      <c r="AK71" s="54">
        <f>IF(AM71=21,K71,0)</f>
        <v>0</v>
      </c>
      <c r="AM71" s="36">
        <v>21</v>
      </c>
      <c r="AN71" s="36">
        <f>H71*0.0718468468468468</f>
        <v>0</v>
      </c>
      <c r="AO71" s="36">
        <f>H71*(1-0.0718468468468468)</f>
        <v>0</v>
      </c>
      <c r="AP71" s="60" t="s">
        <v>121</v>
      </c>
      <c r="AU71" s="36">
        <f>AV71+AW71</f>
        <v>0</v>
      </c>
      <c r="AV71" s="36">
        <f>G71*AN71</f>
        <v>0</v>
      </c>
      <c r="AW71" s="36">
        <f>G71*AO71</f>
        <v>0</v>
      </c>
      <c r="AX71" s="62" t="s">
        <v>627</v>
      </c>
      <c r="AY71" s="62" t="s">
        <v>651</v>
      </c>
      <c r="AZ71" s="59" t="s">
        <v>662</v>
      </c>
      <c r="BB71" s="36">
        <f>AV71+AW71</f>
        <v>0</v>
      </c>
      <c r="BC71" s="36">
        <f>H71/(100-BD71)*100</f>
        <v>0</v>
      </c>
      <c r="BD71" s="36">
        <v>0</v>
      </c>
      <c r="BE71" s="36">
        <f>71</f>
        <v>71</v>
      </c>
      <c r="BG71" s="54">
        <f>G71*AN71</f>
        <v>0</v>
      </c>
      <c r="BH71" s="54">
        <f>G71*AO71</f>
        <v>0</v>
      </c>
      <c r="BI71" s="54">
        <f>G71*H71</f>
        <v>0</v>
      </c>
    </row>
    <row r="72" spans="3:5" ht="12.75">
      <c r="C72" s="164" t="s">
        <v>463</v>
      </c>
      <c r="D72" s="165"/>
      <c r="E72" s="165"/>
    </row>
    <row r="73" spans="1:61" ht="12.75">
      <c r="A73" s="45" t="s">
        <v>155</v>
      </c>
      <c r="B73" s="45" t="s">
        <v>294</v>
      </c>
      <c r="C73" s="162" t="s">
        <v>464</v>
      </c>
      <c r="D73" s="163"/>
      <c r="E73" s="163"/>
      <c r="F73" s="45" t="s">
        <v>595</v>
      </c>
      <c r="G73" s="55">
        <v>108.2</v>
      </c>
      <c r="H73" s="55">
        <v>0</v>
      </c>
      <c r="I73" s="55">
        <f>G73*AN73</f>
        <v>0</v>
      </c>
      <c r="J73" s="55">
        <f>G73*AO73</f>
        <v>0</v>
      </c>
      <c r="K73" s="55">
        <f>G73*H73</f>
        <v>0</v>
      </c>
      <c r="Y73" s="36">
        <f>IF(AP73="5",BI73,0)</f>
        <v>0</v>
      </c>
      <c r="AA73" s="36">
        <f>IF(AP73="1",BG73,0)</f>
        <v>0</v>
      </c>
      <c r="AB73" s="36">
        <f>IF(AP73="1",BH73,0)</f>
        <v>0</v>
      </c>
      <c r="AC73" s="36">
        <f>IF(AP73="7",BG73,0)</f>
        <v>0</v>
      </c>
      <c r="AD73" s="36">
        <f>IF(AP73="7",BH73,0)</f>
        <v>0</v>
      </c>
      <c r="AE73" s="36">
        <f>IF(AP73="2",BG73,0)</f>
        <v>0</v>
      </c>
      <c r="AF73" s="36">
        <f>IF(AP73="2",BH73,0)</f>
        <v>0</v>
      </c>
      <c r="AG73" s="36">
        <f>IF(AP73="0",BI73,0)</f>
        <v>0</v>
      </c>
      <c r="AH73" s="59" t="s">
        <v>71</v>
      </c>
      <c r="AI73" s="55">
        <f>IF(AM73=0,K73,0)</f>
        <v>0</v>
      </c>
      <c r="AJ73" s="55">
        <f>IF(AM73=15,K73,0)</f>
        <v>0</v>
      </c>
      <c r="AK73" s="55">
        <f>IF(AM73=21,K73,0)</f>
        <v>0</v>
      </c>
      <c r="AM73" s="36">
        <v>21</v>
      </c>
      <c r="AN73" s="36">
        <f>H73*1</f>
        <v>0</v>
      </c>
      <c r="AO73" s="36">
        <f>H73*(1-1)</f>
        <v>0</v>
      </c>
      <c r="AP73" s="61" t="s">
        <v>121</v>
      </c>
      <c r="AU73" s="36">
        <f>AV73+AW73</f>
        <v>0</v>
      </c>
      <c r="AV73" s="36">
        <f>G73*AN73</f>
        <v>0</v>
      </c>
      <c r="AW73" s="36">
        <f>G73*AO73</f>
        <v>0</v>
      </c>
      <c r="AX73" s="62" t="s">
        <v>627</v>
      </c>
      <c r="AY73" s="62" t="s">
        <v>651</v>
      </c>
      <c r="AZ73" s="59" t="s">
        <v>662</v>
      </c>
      <c r="BB73" s="36">
        <f>AV73+AW73</f>
        <v>0</v>
      </c>
      <c r="BC73" s="36">
        <f>H73/(100-BD73)*100</f>
        <v>0</v>
      </c>
      <c r="BD73" s="36">
        <v>0</v>
      </c>
      <c r="BE73" s="36">
        <f>73</f>
        <v>73</v>
      </c>
      <c r="BG73" s="55">
        <f>G73*AN73</f>
        <v>0</v>
      </c>
      <c r="BH73" s="55">
        <f>G73*AO73</f>
        <v>0</v>
      </c>
      <c r="BI73" s="55">
        <f>G73*H73</f>
        <v>0</v>
      </c>
    </row>
    <row r="74" spans="1:61" ht="12.75">
      <c r="A74" s="44" t="s">
        <v>156</v>
      </c>
      <c r="B74" s="44" t="s">
        <v>295</v>
      </c>
      <c r="C74" s="160" t="s">
        <v>465</v>
      </c>
      <c r="D74" s="161"/>
      <c r="E74" s="161"/>
      <c r="F74" s="44" t="s">
        <v>593</v>
      </c>
      <c r="G74" s="54">
        <v>57.6</v>
      </c>
      <c r="H74" s="54">
        <v>0</v>
      </c>
      <c r="I74" s="54">
        <f>G74*AN74</f>
        <v>0</v>
      </c>
      <c r="J74" s="54">
        <f>G74*AO74</f>
        <v>0</v>
      </c>
      <c r="K74" s="54">
        <f>G74*H74</f>
        <v>0</v>
      </c>
      <c r="Y74" s="36">
        <f>IF(AP74="5",BI74,0)</f>
        <v>0</v>
      </c>
      <c r="AA74" s="36">
        <f>IF(AP74="1",BG74,0)</f>
        <v>0</v>
      </c>
      <c r="AB74" s="36">
        <f>IF(AP74="1",BH74,0)</f>
        <v>0</v>
      </c>
      <c r="AC74" s="36">
        <f>IF(AP74="7",BG74,0)</f>
        <v>0</v>
      </c>
      <c r="AD74" s="36">
        <f>IF(AP74="7",BH74,0)</f>
        <v>0</v>
      </c>
      <c r="AE74" s="36">
        <f>IF(AP74="2",BG74,0)</f>
        <v>0</v>
      </c>
      <c r="AF74" s="36">
        <f>IF(AP74="2",BH74,0)</f>
        <v>0</v>
      </c>
      <c r="AG74" s="36">
        <f>IF(AP74="0",BI74,0)</f>
        <v>0</v>
      </c>
      <c r="AH74" s="59" t="s">
        <v>71</v>
      </c>
      <c r="AI74" s="54">
        <f>IF(AM74=0,K74,0)</f>
        <v>0</v>
      </c>
      <c r="AJ74" s="54">
        <f>IF(AM74=15,K74,0)</f>
        <v>0</v>
      </c>
      <c r="AK74" s="54">
        <f>IF(AM74=21,K74,0)</f>
        <v>0</v>
      </c>
      <c r="AM74" s="36">
        <v>21</v>
      </c>
      <c r="AN74" s="36">
        <f>H74*0</f>
        <v>0</v>
      </c>
      <c r="AO74" s="36">
        <f>H74*(1-0)</f>
        <v>0</v>
      </c>
      <c r="AP74" s="60" t="s">
        <v>121</v>
      </c>
      <c r="AU74" s="36">
        <f>AV74+AW74</f>
        <v>0</v>
      </c>
      <c r="AV74" s="36">
        <f>G74*AN74</f>
        <v>0</v>
      </c>
      <c r="AW74" s="36">
        <f>G74*AO74</f>
        <v>0</v>
      </c>
      <c r="AX74" s="62" t="s">
        <v>627</v>
      </c>
      <c r="AY74" s="62" t="s">
        <v>651</v>
      </c>
      <c r="AZ74" s="59" t="s">
        <v>662</v>
      </c>
      <c r="BB74" s="36">
        <f>AV74+AW74</f>
        <v>0</v>
      </c>
      <c r="BC74" s="36">
        <f>H74/(100-BD74)*100</f>
        <v>0</v>
      </c>
      <c r="BD74" s="36">
        <v>0</v>
      </c>
      <c r="BE74" s="36">
        <f>74</f>
        <v>74</v>
      </c>
      <c r="BG74" s="54">
        <f>G74*AN74</f>
        <v>0</v>
      </c>
      <c r="BH74" s="54">
        <f>G74*AO74</f>
        <v>0</v>
      </c>
      <c r="BI74" s="54">
        <f>G74*H74</f>
        <v>0</v>
      </c>
    </row>
    <row r="75" spans="3:5" ht="12.75">
      <c r="C75" s="164" t="s">
        <v>466</v>
      </c>
      <c r="D75" s="165"/>
      <c r="E75" s="165"/>
    </row>
    <row r="76" spans="1:61" ht="12.75">
      <c r="A76" s="44" t="s">
        <v>157</v>
      </c>
      <c r="B76" s="44" t="s">
        <v>296</v>
      </c>
      <c r="C76" s="160" t="s">
        <v>467</v>
      </c>
      <c r="D76" s="161"/>
      <c r="E76" s="161"/>
      <c r="F76" s="44" t="s">
        <v>593</v>
      </c>
      <c r="G76" s="54">
        <v>61</v>
      </c>
      <c r="H76" s="54">
        <v>0</v>
      </c>
      <c r="I76" s="54">
        <f>G76*AN76</f>
        <v>0</v>
      </c>
      <c r="J76" s="54">
        <f>G76*AO76</f>
        <v>0</v>
      </c>
      <c r="K76" s="54">
        <f>G76*H76</f>
        <v>0</v>
      </c>
      <c r="Y76" s="36">
        <f>IF(AP76="5",BI76,0)</f>
        <v>0</v>
      </c>
      <c r="AA76" s="36">
        <f>IF(AP76="1",BG76,0)</f>
        <v>0</v>
      </c>
      <c r="AB76" s="36">
        <f>IF(AP76="1",BH76,0)</f>
        <v>0</v>
      </c>
      <c r="AC76" s="36">
        <f>IF(AP76="7",BG76,0)</f>
        <v>0</v>
      </c>
      <c r="AD76" s="36">
        <f>IF(AP76="7",BH76,0)</f>
        <v>0</v>
      </c>
      <c r="AE76" s="36">
        <f>IF(AP76="2",BG76,0)</f>
        <v>0</v>
      </c>
      <c r="AF76" s="36">
        <f>IF(AP76="2",BH76,0)</f>
        <v>0</v>
      </c>
      <c r="AG76" s="36">
        <f>IF(AP76="0",BI76,0)</f>
        <v>0</v>
      </c>
      <c r="AH76" s="59" t="s">
        <v>71</v>
      </c>
      <c r="AI76" s="54">
        <f>IF(AM76=0,K76,0)</f>
        <v>0</v>
      </c>
      <c r="AJ76" s="54">
        <f>IF(AM76=15,K76,0)</f>
        <v>0</v>
      </c>
      <c r="AK76" s="54">
        <f>IF(AM76=21,K76,0)</f>
        <v>0</v>
      </c>
      <c r="AM76" s="36">
        <v>21</v>
      </c>
      <c r="AN76" s="36">
        <f>H76*0.790045504250591</f>
        <v>0</v>
      </c>
      <c r="AO76" s="36">
        <f>H76*(1-0.790045504250591)</f>
        <v>0</v>
      </c>
      <c r="AP76" s="60" t="s">
        <v>121</v>
      </c>
      <c r="AU76" s="36">
        <f>AV76+AW76</f>
        <v>0</v>
      </c>
      <c r="AV76" s="36">
        <f>G76*AN76</f>
        <v>0</v>
      </c>
      <c r="AW76" s="36">
        <f>G76*AO76</f>
        <v>0</v>
      </c>
      <c r="AX76" s="62" t="s">
        <v>627</v>
      </c>
      <c r="AY76" s="62" t="s">
        <v>651</v>
      </c>
      <c r="AZ76" s="59" t="s">
        <v>662</v>
      </c>
      <c r="BB76" s="36">
        <f>AV76+AW76</f>
        <v>0</v>
      </c>
      <c r="BC76" s="36">
        <f>H76/(100-BD76)*100</f>
        <v>0</v>
      </c>
      <c r="BD76" s="36">
        <v>0</v>
      </c>
      <c r="BE76" s="36">
        <f>76</f>
        <v>76</v>
      </c>
      <c r="BG76" s="54">
        <f>G76*AN76</f>
        <v>0</v>
      </c>
      <c r="BH76" s="54">
        <f>G76*AO76</f>
        <v>0</v>
      </c>
      <c r="BI76" s="54">
        <f>G76*H76</f>
        <v>0</v>
      </c>
    </row>
    <row r="77" spans="3:5" ht="12.75">
      <c r="C77" s="164" t="s">
        <v>468</v>
      </c>
      <c r="D77" s="165"/>
      <c r="E77" s="165"/>
    </row>
    <row r="78" spans="1:61" ht="12.75">
      <c r="A78" s="44" t="s">
        <v>158</v>
      </c>
      <c r="B78" s="44" t="s">
        <v>297</v>
      </c>
      <c r="C78" s="160" t="s">
        <v>469</v>
      </c>
      <c r="D78" s="161"/>
      <c r="E78" s="161"/>
      <c r="F78" s="44" t="s">
        <v>592</v>
      </c>
      <c r="G78" s="54">
        <v>2.36</v>
      </c>
      <c r="H78" s="54">
        <v>0</v>
      </c>
      <c r="I78" s="54">
        <f>G78*AN78</f>
        <v>0</v>
      </c>
      <c r="J78" s="54">
        <f>G78*AO78</f>
        <v>0</v>
      </c>
      <c r="K78" s="54">
        <f>G78*H78</f>
        <v>0</v>
      </c>
      <c r="Y78" s="36">
        <f>IF(AP78="5",BI78,0)</f>
        <v>0</v>
      </c>
      <c r="AA78" s="36">
        <f>IF(AP78="1",BG78,0)</f>
        <v>0</v>
      </c>
      <c r="AB78" s="36">
        <f>IF(AP78="1",BH78,0)</f>
        <v>0</v>
      </c>
      <c r="AC78" s="36">
        <f>IF(AP78="7",BG78,0)</f>
        <v>0</v>
      </c>
      <c r="AD78" s="36">
        <f>IF(AP78="7",BH78,0)</f>
        <v>0</v>
      </c>
      <c r="AE78" s="36">
        <f>IF(AP78="2",BG78,0)</f>
        <v>0</v>
      </c>
      <c r="AF78" s="36">
        <f>IF(AP78="2",BH78,0)</f>
        <v>0</v>
      </c>
      <c r="AG78" s="36">
        <f>IF(AP78="0",BI78,0)</f>
        <v>0</v>
      </c>
      <c r="AH78" s="59" t="s">
        <v>71</v>
      </c>
      <c r="AI78" s="54">
        <f>IF(AM78=0,K78,0)</f>
        <v>0</v>
      </c>
      <c r="AJ78" s="54">
        <f>IF(AM78=15,K78,0)</f>
        <v>0</v>
      </c>
      <c r="AK78" s="54">
        <f>IF(AM78=21,K78,0)</f>
        <v>0</v>
      </c>
      <c r="AM78" s="36">
        <v>21</v>
      </c>
      <c r="AN78" s="36">
        <f>H78*0</f>
        <v>0</v>
      </c>
      <c r="AO78" s="36">
        <f>H78*(1-0)</f>
        <v>0</v>
      </c>
      <c r="AP78" s="60" t="s">
        <v>120</v>
      </c>
      <c r="AU78" s="36">
        <f>AV78+AW78</f>
        <v>0</v>
      </c>
      <c r="AV78" s="36">
        <f>G78*AN78</f>
        <v>0</v>
      </c>
      <c r="AW78" s="36">
        <f>G78*AO78</f>
        <v>0</v>
      </c>
      <c r="AX78" s="62" t="s">
        <v>627</v>
      </c>
      <c r="AY78" s="62" t="s">
        <v>651</v>
      </c>
      <c r="AZ78" s="59" t="s">
        <v>662</v>
      </c>
      <c r="BB78" s="36">
        <f>AV78+AW78</f>
        <v>0</v>
      </c>
      <c r="BC78" s="36">
        <f>H78/(100-BD78)*100</f>
        <v>0</v>
      </c>
      <c r="BD78" s="36">
        <v>0</v>
      </c>
      <c r="BE78" s="36">
        <f>78</f>
        <v>78</v>
      </c>
      <c r="BG78" s="54">
        <f>G78*AN78</f>
        <v>0</v>
      </c>
      <c r="BH78" s="54">
        <f>G78*AO78</f>
        <v>0</v>
      </c>
      <c r="BI78" s="54">
        <f>G78*H78</f>
        <v>0</v>
      </c>
    </row>
    <row r="79" spans="1:46" ht="12.75">
      <c r="A79" s="43"/>
      <c r="B79" s="51" t="s">
        <v>298</v>
      </c>
      <c r="C79" s="158" t="s">
        <v>470</v>
      </c>
      <c r="D79" s="159"/>
      <c r="E79" s="159"/>
      <c r="F79" s="43" t="s">
        <v>69</v>
      </c>
      <c r="G79" s="43" t="s">
        <v>69</v>
      </c>
      <c r="H79" s="43" t="s">
        <v>69</v>
      </c>
      <c r="I79" s="64">
        <f>SUM(I80:I80)</f>
        <v>0</v>
      </c>
      <c r="J79" s="64">
        <f>SUM(J80:J80)</f>
        <v>0</v>
      </c>
      <c r="K79" s="64">
        <f>SUM(K80:K80)</f>
        <v>0</v>
      </c>
      <c r="AH79" s="59" t="s">
        <v>71</v>
      </c>
      <c r="AR79" s="64">
        <f>SUM(AI80:AI80)</f>
        <v>0</v>
      </c>
      <c r="AS79" s="64">
        <f>SUM(AJ80:AJ80)</f>
        <v>0</v>
      </c>
      <c r="AT79" s="64">
        <f>SUM(AK80:AK80)</f>
        <v>0</v>
      </c>
    </row>
    <row r="80" spans="1:61" ht="12.75">
      <c r="A80" s="44" t="s">
        <v>159</v>
      </c>
      <c r="B80" s="44" t="s">
        <v>299</v>
      </c>
      <c r="C80" s="160" t="s">
        <v>471</v>
      </c>
      <c r="D80" s="161"/>
      <c r="E80" s="161"/>
      <c r="F80" s="44" t="s">
        <v>595</v>
      </c>
      <c r="G80" s="54">
        <v>4</v>
      </c>
      <c r="H80" s="54">
        <v>0</v>
      </c>
      <c r="I80" s="54">
        <f>G80*AN80</f>
        <v>0</v>
      </c>
      <c r="J80" s="54">
        <f>G80*AO80</f>
        <v>0</v>
      </c>
      <c r="K80" s="54">
        <f>G80*H80</f>
        <v>0</v>
      </c>
      <c r="Y80" s="36">
        <f>IF(AP80="5",BI80,0)</f>
        <v>0</v>
      </c>
      <c r="AA80" s="36">
        <f>IF(AP80="1",BG80,0)</f>
        <v>0</v>
      </c>
      <c r="AB80" s="36">
        <f>IF(AP80="1",BH80,0)</f>
        <v>0</v>
      </c>
      <c r="AC80" s="36">
        <f>IF(AP80="7",BG80,0)</f>
        <v>0</v>
      </c>
      <c r="AD80" s="36">
        <f>IF(AP80="7",BH80,0)</f>
        <v>0</v>
      </c>
      <c r="AE80" s="36">
        <f>IF(AP80="2",BG80,0)</f>
        <v>0</v>
      </c>
      <c r="AF80" s="36">
        <f>IF(AP80="2",BH80,0)</f>
        <v>0</v>
      </c>
      <c r="AG80" s="36">
        <f>IF(AP80="0",BI80,0)</f>
        <v>0</v>
      </c>
      <c r="AH80" s="59" t="s">
        <v>71</v>
      </c>
      <c r="AI80" s="54">
        <f>IF(AM80=0,K80,0)</f>
        <v>0</v>
      </c>
      <c r="AJ80" s="54">
        <f>IF(AM80=15,K80,0)</f>
        <v>0</v>
      </c>
      <c r="AK80" s="54">
        <f>IF(AM80=21,K80,0)</f>
        <v>0</v>
      </c>
      <c r="AM80" s="36">
        <v>21</v>
      </c>
      <c r="AN80" s="36">
        <f>H80*0.139767428796135</f>
        <v>0</v>
      </c>
      <c r="AO80" s="36">
        <f>H80*(1-0.139767428796135)</f>
        <v>0</v>
      </c>
      <c r="AP80" s="60" t="s">
        <v>121</v>
      </c>
      <c r="AU80" s="36">
        <f>AV80+AW80</f>
        <v>0</v>
      </c>
      <c r="AV80" s="36">
        <f>G80*AN80</f>
        <v>0</v>
      </c>
      <c r="AW80" s="36">
        <f>G80*AO80</f>
        <v>0</v>
      </c>
      <c r="AX80" s="62" t="s">
        <v>628</v>
      </c>
      <c r="AY80" s="62" t="s">
        <v>651</v>
      </c>
      <c r="AZ80" s="59" t="s">
        <v>662</v>
      </c>
      <c r="BB80" s="36">
        <f>AV80+AW80</f>
        <v>0</v>
      </c>
      <c r="BC80" s="36">
        <f>H80/(100-BD80)*100</f>
        <v>0</v>
      </c>
      <c r="BD80" s="36">
        <v>0</v>
      </c>
      <c r="BE80" s="36">
        <f>80</f>
        <v>80</v>
      </c>
      <c r="BG80" s="54">
        <f>G80*AN80</f>
        <v>0</v>
      </c>
      <c r="BH80" s="54">
        <f>G80*AO80</f>
        <v>0</v>
      </c>
      <c r="BI80" s="54">
        <f>G80*H80</f>
        <v>0</v>
      </c>
    </row>
    <row r="81" spans="3:5" ht="12.75">
      <c r="C81" s="164" t="s">
        <v>472</v>
      </c>
      <c r="D81" s="165"/>
      <c r="E81" s="165"/>
    </row>
    <row r="82" spans="1:46" ht="12.75">
      <c r="A82" s="43"/>
      <c r="B82" s="51" t="s">
        <v>300</v>
      </c>
      <c r="C82" s="158" t="s">
        <v>473</v>
      </c>
      <c r="D82" s="159"/>
      <c r="E82" s="159"/>
      <c r="F82" s="43" t="s">
        <v>69</v>
      </c>
      <c r="G82" s="43" t="s">
        <v>69</v>
      </c>
      <c r="H82" s="43" t="s">
        <v>69</v>
      </c>
      <c r="I82" s="64">
        <f>SUM(I83:I84)</f>
        <v>0</v>
      </c>
      <c r="J82" s="64">
        <f>SUM(J83:J84)</f>
        <v>0</v>
      </c>
      <c r="K82" s="64">
        <f>SUM(K83:K84)</f>
        <v>0</v>
      </c>
      <c r="AH82" s="59" t="s">
        <v>71</v>
      </c>
      <c r="AR82" s="64">
        <f>SUM(AI83:AI84)</f>
        <v>0</v>
      </c>
      <c r="AS82" s="64">
        <f>SUM(AJ83:AJ84)</f>
        <v>0</v>
      </c>
      <c r="AT82" s="64">
        <f>SUM(AK83:AK84)</f>
        <v>0</v>
      </c>
    </row>
    <row r="83" spans="1:61" ht="12.75">
      <c r="A83" s="44" t="s">
        <v>160</v>
      </c>
      <c r="B83" s="44" t="s">
        <v>301</v>
      </c>
      <c r="C83" s="160" t="s">
        <v>474</v>
      </c>
      <c r="D83" s="161"/>
      <c r="E83" s="161"/>
      <c r="F83" s="44" t="s">
        <v>595</v>
      </c>
      <c r="G83" s="54">
        <v>52.64</v>
      </c>
      <c r="H83" s="54">
        <v>0</v>
      </c>
      <c r="I83" s="54">
        <f>G83*AN83</f>
        <v>0</v>
      </c>
      <c r="J83" s="54">
        <f>G83*AO83</f>
        <v>0</v>
      </c>
      <c r="K83" s="54">
        <f>G83*H83</f>
        <v>0</v>
      </c>
      <c r="Y83" s="36">
        <f>IF(AP83="5",BI83,0)</f>
        <v>0</v>
      </c>
      <c r="AA83" s="36">
        <f>IF(AP83="1",BG83,0)</f>
        <v>0</v>
      </c>
      <c r="AB83" s="36">
        <f>IF(AP83="1",BH83,0)</f>
        <v>0</v>
      </c>
      <c r="AC83" s="36">
        <f>IF(AP83="7",BG83,0)</f>
        <v>0</v>
      </c>
      <c r="AD83" s="36">
        <f>IF(AP83="7",BH83,0)</f>
        <v>0</v>
      </c>
      <c r="AE83" s="36">
        <f>IF(AP83="2",BG83,0)</f>
        <v>0</v>
      </c>
      <c r="AF83" s="36">
        <f>IF(AP83="2",BH83,0)</f>
        <v>0</v>
      </c>
      <c r="AG83" s="36">
        <f>IF(AP83="0",BI83,0)</f>
        <v>0</v>
      </c>
      <c r="AH83" s="59" t="s">
        <v>71</v>
      </c>
      <c r="AI83" s="54">
        <f>IF(AM83=0,K83,0)</f>
        <v>0</v>
      </c>
      <c r="AJ83" s="54">
        <f>IF(AM83=15,K83,0)</f>
        <v>0</v>
      </c>
      <c r="AK83" s="54">
        <f>IF(AM83=21,K83,0)</f>
        <v>0</v>
      </c>
      <c r="AM83" s="36">
        <v>21</v>
      </c>
      <c r="AN83" s="36">
        <f>H83*0.271099606803464</f>
        <v>0</v>
      </c>
      <c r="AO83" s="36">
        <f>H83*(1-0.271099606803464)</f>
        <v>0</v>
      </c>
      <c r="AP83" s="60" t="s">
        <v>121</v>
      </c>
      <c r="AU83" s="36">
        <f>AV83+AW83</f>
        <v>0</v>
      </c>
      <c r="AV83" s="36">
        <f>G83*AN83</f>
        <v>0</v>
      </c>
      <c r="AW83" s="36">
        <f>G83*AO83</f>
        <v>0</v>
      </c>
      <c r="AX83" s="62" t="s">
        <v>629</v>
      </c>
      <c r="AY83" s="62" t="s">
        <v>651</v>
      </c>
      <c r="AZ83" s="59" t="s">
        <v>662</v>
      </c>
      <c r="BB83" s="36">
        <f>AV83+AW83</f>
        <v>0</v>
      </c>
      <c r="BC83" s="36">
        <f>H83/(100-BD83)*100</f>
        <v>0</v>
      </c>
      <c r="BD83" s="36">
        <v>0</v>
      </c>
      <c r="BE83" s="36">
        <f>83</f>
        <v>83</v>
      </c>
      <c r="BG83" s="54">
        <f>G83*AN83</f>
        <v>0</v>
      </c>
      <c r="BH83" s="54">
        <f>G83*AO83</f>
        <v>0</v>
      </c>
      <c r="BI83" s="54">
        <f>G83*H83</f>
        <v>0</v>
      </c>
    </row>
    <row r="84" spans="1:61" ht="12.75">
      <c r="A84" s="44" t="s">
        <v>161</v>
      </c>
      <c r="B84" s="44" t="s">
        <v>302</v>
      </c>
      <c r="C84" s="160" t="s">
        <v>475</v>
      </c>
      <c r="D84" s="161"/>
      <c r="E84" s="161"/>
      <c r="F84" s="44" t="s">
        <v>595</v>
      </c>
      <c r="G84" s="54">
        <v>52.64</v>
      </c>
      <c r="H84" s="54">
        <v>0</v>
      </c>
      <c r="I84" s="54">
        <f>G84*AN84</f>
        <v>0</v>
      </c>
      <c r="J84" s="54">
        <f>G84*AO84</f>
        <v>0</v>
      </c>
      <c r="K84" s="54">
        <f>G84*H84</f>
        <v>0</v>
      </c>
      <c r="Y84" s="36">
        <f>IF(AP84="5",BI84,0)</f>
        <v>0</v>
      </c>
      <c r="AA84" s="36">
        <f>IF(AP84="1",BG84,0)</f>
        <v>0</v>
      </c>
      <c r="AB84" s="36">
        <f>IF(AP84="1",BH84,0)</f>
        <v>0</v>
      </c>
      <c r="AC84" s="36">
        <f>IF(AP84="7",BG84,0)</f>
        <v>0</v>
      </c>
      <c r="AD84" s="36">
        <f>IF(AP84="7",BH84,0)</f>
        <v>0</v>
      </c>
      <c r="AE84" s="36">
        <f>IF(AP84="2",BG84,0)</f>
        <v>0</v>
      </c>
      <c r="AF84" s="36">
        <f>IF(AP84="2",BH84,0)</f>
        <v>0</v>
      </c>
      <c r="AG84" s="36">
        <f>IF(AP84="0",BI84,0)</f>
        <v>0</v>
      </c>
      <c r="AH84" s="59" t="s">
        <v>71</v>
      </c>
      <c r="AI84" s="54">
        <f>IF(AM84=0,K84,0)</f>
        <v>0</v>
      </c>
      <c r="AJ84" s="54">
        <f>IF(AM84=15,K84,0)</f>
        <v>0</v>
      </c>
      <c r="AK84" s="54">
        <f>IF(AM84=21,K84,0)</f>
        <v>0</v>
      </c>
      <c r="AM84" s="36">
        <v>21</v>
      </c>
      <c r="AN84" s="36">
        <f>H84*0.242514182929263</f>
        <v>0</v>
      </c>
      <c r="AO84" s="36">
        <f>H84*(1-0.242514182929263)</f>
        <v>0</v>
      </c>
      <c r="AP84" s="60" t="s">
        <v>121</v>
      </c>
      <c r="AU84" s="36">
        <f>AV84+AW84</f>
        <v>0</v>
      </c>
      <c r="AV84" s="36">
        <f>G84*AN84</f>
        <v>0</v>
      </c>
      <c r="AW84" s="36">
        <f>G84*AO84</f>
        <v>0</v>
      </c>
      <c r="AX84" s="62" t="s">
        <v>629</v>
      </c>
      <c r="AY84" s="62" t="s">
        <v>651</v>
      </c>
      <c r="AZ84" s="59" t="s">
        <v>662</v>
      </c>
      <c r="BB84" s="36">
        <f>AV84+AW84</f>
        <v>0</v>
      </c>
      <c r="BC84" s="36">
        <f>H84/(100-BD84)*100</f>
        <v>0</v>
      </c>
      <c r="BD84" s="36">
        <v>0</v>
      </c>
      <c r="BE84" s="36">
        <f>84</f>
        <v>84</v>
      </c>
      <c r="BG84" s="54">
        <f>G84*AN84</f>
        <v>0</v>
      </c>
      <c r="BH84" s="54">
        <f>G84*AO84</f>
        <v>0</v>
      </c>
      <c r="BI84" s="54">
        <f>G84*H84</f>
        <v>0</v>
      </c>
    </row>
    <row r="85" spans="1:46" ht="12.75">
      <c r="A85" s="43"/>
      <c r="B85" s="51" t="s">
        <v>196</v>
      </c>
      <c r="C85" s="158" t="s">
        <v>476</v>
      </c>
      <c r="D85" s="159"/>
      <c r="E85" s="159"/>
      <c r="F85" s="43" t="s">
        <v>69</v>
      </c>
      <c r="G85" s="43" t="s">
        <v>69</v>
      </c>
      <c r="H85" s="43" t="s">
        <v>69</v>
      </c>
      <c r="I85" s="64">
        <f>SUM(I86:I86)</f>
        <v>0</v>
      </c>
      <c r="J85" s="64">
        <f>SUM(J86:J86)</f>
        <v>0</v>
      </c>
      <c r="K85" s="64">
        <f>SUM(K86:K86)</f>
        <v>0</v>
      </c>
      <c r="AH85" s="59" t="s">
        <v>71</v>
      </c>
      <c r="AR85" s="64">
        <f>SUM(AI86:AI86)</f>
        <v>0</v>
      </c>
      <c r="AS85" s="64">
        <f>SUM(AJ86:AJ86)</f>
        <v>0</v>
      </c>
      <c r="AT85" s="64">
        <f>SUM(AK86:AK86)</f>
        <v>0</v>
      </c>
    </row>
    <row r="86" spans="1:61" ht="12.75">
      <c r="A86" s="44" t="s">
        <v>162</v>
      </c>
      <c r="B86" s="44" t="s">
        <v>303</v>
      </c>
      <c r="C86" s="160" t="s">
        <v>477</v>
      </c>
      <c r="D86" s="161"/>
      <c r="E86" s="161"/>
      <c r="F86" s="44" t="s">
        <v>597</v>
      </c>
      <c r="G86" s="54">
        <v>10</v>
      </c>
      <c r="H86" s="54">
        <v>0</v>
      </c>
      <c r="I86" s="54">
        <f>G86*AN86</f>
        <v>0</v>
      </c>
      <c r="J86" s="54">
        <f>G86*AO86</f>
        <v>0</v>
      </c>
      <c r="K86" s="54">
        <f>G86*H86</f>
        <v>0</v>
      </c>
      <c r="Y86" s="36">
        <f>IF(AP86="5",BI86,0)</f>
        <v>0</v>
      </c>
      <c r="AA86" s="36">
        <f>IF(AP86="1",BG86,0)</f>
        <v>0</v>
      </c>
      <c r="AB86" s="36">
        <f>IF(AP86="1",BH86,0)</f>
        <v>0</v>
      </c>
      <c r="AC86" s="36">
        <f>IF(AP86="7",BG86,0)</f>
        <v>0</v>
      </c>
      <c r="AD86" s="36">
        <f>IF(AP86="7",BH86,0)</f>
        <v>0</v>
      </c>
      <c r="AE86" s="36">
        <f>IF(AP86="2",BG86,0)</f>
        <v>0</v>
      </c>
      <c r="AF86" s="36">
        <f>IF(AP86="2",BH86,0)</f>
        <v>0</v>
      </c>
      <c r="AG86" s="36">
        <f>IF(AP86="0",BI86,0)</f>
        <v>0</v>
      </c>
      <c r="AH86" s="59" t="s">
        <v>71</v>
      </c>
      <c r="AI86" s="54">
        <f>IF(AM86=0,K86,0)</f>
        <v>0</v>
      </c>
      <c r="AJ86" s="54">
        <f>IF(AM86=15,K86,0)</f>
        <v>0</v>
      </c>
      <c r="AK86" s="54">
        <f>IF(AM86=21,K86,0)</f>
        <v>0</v>
      </c>
      <c r="AM86" s="36">
        <v>21</v>
      </c>
      <c r="AN86" s="36">
        <f>H86*0</f>
        <v>0</v>
      </c>
      <c r="AO86" s="36">
        <f>H86*(1-0)</f>
        <v>0</v>
      </c>
      <c r="AP86" s="60" t="s">
        <v>117</v>
      </c>
      <c r="AU86" s="36">
        <f>AV86+AW86</f>
        <v>0</v>
      </c>
      <c r="AV86" s="36">
        <f>G86*AN86</f>
        <v>0</v>
      </c>
      <c r="AW86" s="36">
        <f>G86*AO86</f>
        <v>0</v>
      </c>
      <c r="AX86" s="62" t="s">
        <v>630</v>
      </c>
      <c r="AY86" s="62" t="s">
        <v>652</v>
      </c>
      <c r="AZ86" s="59" t="s">
        <v>662</v>
      </c>
      <c r="BB86" s="36">
        <f>AV86+AW86</f>
        <v>0</v>
      </c>
      <c r="BC86" s="36">
        <f>H86/(100-BD86)*100</f>
        <v>0</v>
      </c>
      <c r="BD86" s="36">
        <v>0</v>
      </c>
      <c r="BE86" s="36">
        <f>86</f>
        <v>86</v>
      </c>
      <c r="BG86" s="54">
        <f>G86*AN86</f>
        <v>0</v>
      </c>
      <c r="BH86" s="54">
        <f>G86*AO86</f>
        <v>0</v>
      </c>
      <c r="BI86" s="54">
        <f>G86*H86</f>
        <v>0</v>
      </c>
    </row>
    <row r="87" spans="1:46" ht="12.75">
      <c r="A87" s="43"/>
      <c r="B87" s="51" t="s">
        <v>200</v>
      </c>
      <c r="C87" s="158" t="s">
        <v>478</v>
      </c>
      <c r="D87" s="159"/>
      <c r="E87" s="159"/>
      <c r="F87" s="43" t="s">
        <v>69</v>
      </c>
      <c r="G87" s="43" t="s">
        <v>69</v>
      </c>
      <c r="H87" s="43" t="s">
        <v>69</v>
      </c>
      <c r="I87" s="64">
        <f>SUM(I88:I89)</f>
        <v>0</v>
      </c>
      <c r="J87" s="64">
        <f>SUM(J88:J89)</f>
        <v>0</v>
      </c>
      <c r="K87" s="64">
        <f>SUM(K88:K89)</f>
        <v>0</v>
      </c>
      <c r="AH87" s="59" t="s">
        <v>71</v>
      </c>
      <c r="AR87" s="64">
        <f>SUM(AI88:AI89)</f>
        <v>0</v>
      </c>
      <c r="AS87" s="64">
        <f>SUM(AJ88:AJ89)</f>
        <v>0</v>
      </c>
      <c r="AT87" s="64">
        <f>SUM(AK88:AK89)</f>
        <v>0</v>
      </c>
    </row>
    <row r="88" spans="1:61" ht="12.75">
      <c r="A88" s="44" t="s">
        <v>163</v>
      </c>
      <c r="B88" s="44" t="s">
        <v>304</v>
      </c>
      <c r="C88" s="160" t="s">
        <v>479</v>
      </c>
      <c r="D88" s="161"/>
      <c r="E88" s="161"/>
      <c r="F88" s="44" t="s">
        <v>595</v>
      </c>
      <c r="G88" s="54">
        <v>74.69</v>
      </c>
      <c r="H88" s="54">
        <v>0</v>
      </c>
      <c r="I88" s="54">
        <f>G88*AN88</f>
        <v>0</v>
      </c>
      <c r="J88" s="54">
        <f>G88*AO88</f>
        <v>0</v>
      </c>
      <c r="K88" s="54">
        <f>G88*H88</f>
        <v>0</v>
      </c>
      <c r="Y88" s="36">
        <f>IF(AP88="5",BI88,0)</f>
        <v>0</v>
      </c>
      <c r="AA88" s="36">
        <f>IF(AP88="1",BG88,0)</f>
        <v>0</v>
      </c>
      <c r="AB88" s="36">
        <f>IF(AP88="1",BH88,0)</f>
        <v>0</v>
      </c>
      <c r="AC88" s="36">
        <f>IF(AP88="7",BG88,0)</f>
        <v>0</v>
      </c>
      <c r="AD88" s="36">
        <f>IF(AP88="7",BH88,0)</f>
        <v>0</v>
      </c>
      <c r="AE88" s="36">
        <f>IF(AP88="2",BG88,0)</f>
        <v>0</v>
      </c>
      <c r="AF88" s="36">
        <f>IF(AP88="2",BH88,0)</f>
        <v>0</v>
      </c>
      <c r="AG88" s="36">
        <f>IF(AP88="0",BI88,0)</f>
        <v>0</v>
      </c>
      <c r="AH88" s="59" t="s">
        <v>71</v>
      </c>
      <c r="AI88" s="54">
        <f>IF(AM88=0,K88,0)</f>
        <v>0</v>
      </c>
      <c r="AJ88" s="54">
        <f>IF(AM88=15,K88,0)</f>
        <v>0</v>
      </c>
      <c r="AK88" s="54">
        <f>IF(AM88=21,K88,0)</f>
        <v>0</v>
      </c>
      <c r="AM88" s="36">
        <v>21</v>
      </c>
      <c r="AN88" s="36">
        <f>H88*0.337601775980218</f>
        <v>0</v>
      </c>
      <c r="AO88" s="36">
        <f>H88*(1-0.337601775980218)</f>
        <v>0</v>
      </c>
      <c r="AP88" s="60" t="s">
        <v>117</v>
      </c>
      <c r="AU88" s="36">
        <f>AV88+AW88</f>
        <v>0</v>
      </c>
      <c r="AV88" s="36">
        <f>G88*AN88</f>
        <v>0</v>
      </c>
      <c r="AW88" s="36">
        <f>G88*AO88</f>
        <v>0</v>
      </c>
      <c r="AX88" s="62" t="s">
        <v>631</v>
      </c>
      <c r="AY88" s="62" t="s">
        <v>652</v>
      </c>
      <c r="AZ88" s="59" t="s">
        <v>662</v>
      </c>
      <c r="BB88" s="36">
        <f>AV88+AW88</f>
        <v>0</v>
      </c>
      <c r="BC88" s="36">
        <f>H88/(100-BD88)*100</f>
        <v>0</v>
      </c>
      <c r="BD88" s="36">
        <v>0</v>
      </c>
      <c r="BE88" s="36">
        <f>88</f>
        <v>88</v>
      </c>
      <c r="BG88" s="54">
        <f>G88*AN88</f>
        <v>0</v>
      </c>
      <c r="BH88" s="54">
        <f>G88*AO88</f>
        <v>0</v>
      </c>
      <c r="BI88" s="54">
        <f>G88*H88</f>
        <v>0</v>
      </c>
    </row>
    <row r="89" spans="1:61" ht="12.75">
      <c r="A89" s="44" t="s">
        <v>164</v>
      </c>
      <c r="B89" s="44" t="s">
        <v>305</v>
      </c>
      <c r="C89" s="160" t="s">
        <v>480</v>
      </c>
      <c r="D89" s="161"/>
      <c r="E89" s="161"/>
      <c r="F89" s="44" t="s">
        <v>592</v>
      </c>
      <c r="G89" s="54">
        <v>0.23</v>
      </c>
      <c r="H89" s="54">
        <v>0</v>
      </c>
      <c r="I89" s="54">
        <f>G89*AN89</f>
        <v>0</v>
      </c>
      <c r="J89" s="54">
        <f>G89*AO89</f>
        <v>0</v>
      </c>
      <c r="K89" s="54">
        <f>G89*H89</f>
        <v>0</v>
      </c>
      <c r="Y89" s="36">
        <f>IF(AP89="5",BI89,0)</f>
        <v>0</v>
      </c>
      <c r="AA89" s="36">
        <f>IF(AP89="1",BG89,0)</f>
        <v>0</v>
      </c>
      <c r="AB89" s="36">
        <f>IF(AP89="1",BH89,0)</f>
        <v>0</v>
      </c>
      <c r="AC89" s="36">
        <f>IF(AP89="7",BG89,0)</f>
        <v>0</v>
      </c>
      <c r="AD89" s="36">
        <f>IF(AP89="7",BH89,0)</f>
        <v>0</v>
      </c>
      <c r="AE89" s="36">
        <f>IF(AP89="2",BG89,0)</f>
        <v>0</v>
      </c>
      <c r="AF89" s="36">
        <f>IF(AP89="2",BH89,0)</f>
        <v>0</v>
      </c>
      <c r="AG89" s="36">
        <f>IF(AP89="0",BI89,0)</f>
        <v>0</v>
      </c>
      <c r="AH89" s="59" t="s">
        <v>71</v>
      </c>
      <c r="AI89" s="54">
        <f>IF(AM89=0,K89,0)</f>
        <v>0</v>
      </c>
      <c r="AJ89" s="54">
        <f>IF(AM89=15,K89,0)</f>
        <v>0</v>
      </c>
      <c r="AK89" s="54">
        <f>IF(AM89=21,K89,0)</f>
        <v>0</v>
      </c>
      <c r="AM89" s="36">
        <v>21</v>
      </c>
      <c r="AN89" s="36">
        <f>H89*0</f>
        <v>0</v>
      </c>
      <c r="AO89" s="36">
        <f>H89*(1-0)</f>
        <v>0</v>
      </c>
      <c r="AP89" s="60" t="s">
        <v>120</v>
      </c>
      <c r="AU89" s="36">
        <f>AV89+AW89</f>
        <v>0</v>
      </c>
      <c r="AV89" s="36">
        <f>G89*AN89</f>
        <v>0</v>
      </c>
      <c r="AW89" s="36">
        <f>G89*AO89</f>
        <v>0</v>
      </c>
      <c r="AX89" s="62" t="s">
        <v>631</v>
      </c>
      <c r="AY89" s="62" t="s">
        <v>652</v>
      </c>
      <c r="AZ89" s="59" t="s">
        <v>662</v>
      </c>
      <c r="BB89" s="36">
        <f>AV89+AW89</f>
        <v>0</v>
      </c>
      <c r="BC89" s="36">
        <f>H89/(100-BD89)*100</f>
        <v>0</v>
      </c>
      <c r="BD89" s="36">
        <v>0</v>
      </c>
      <c r="BE89" s="36">
        <f>89</f>
        <v>89</v>
      </c>
      <c r="BG89" s="54">
        <f>G89*AN89</f>
        <v>0</v>
      </c>
      <c r="BH89" s="54">
        <f>G89*AO89</f>
        <v>0</v>
      </c>
      <c r="BI89" s="54">
        <f>G89*H89</f>
        <v>0</v>
      </c>
    </row>
    <row r="90" spans="1:46" ht="12.75">
      <c r="A90" s="43"/>
      <c r="B90" s="51" t="s">
        <v>201</v>
      </c>
      <c r="C90" s="158" t="s">
        <v>481</v>
      </c>
      <c r="D90" s="159"/>
      <c r="E90" s="159"/>
      <c r="F90" s="43" t="s">
        <v>69</v>
      </c>
      <c r="G90" s="43" t="s">
        <v>69</v>
      </c>
      <c r="H90" s="43" t="s">
        <v>69</v>
      </c>
      <c r="I90" s="64">
        <f>SUM(I91:I91)</f>
        <v>0</v>
      </c>
      <c r="J90" s="64">
        <f>SUM(J91:J91)</f>
        <v>0</v>
      </c>
      <c r="K90" s="64">
        <f>SUM(K91:K91)</f>
        <v>0</v>
      </c>
      <c r="AH90" s="59" t="s">
        <v>71</v>
      </c>
      <c r="AR90" s="64">
        <f>SUM(AI91:AI91)</f>
        <v>0</v>
      </c>
      <c r="AS90" s="64">
        <f>SUM(AJ91:AJ91)</f>
        <v>0</v>
      </c>
      <c r="AT90" s="64">
        <f>SUM(AK91:AK91)</f>
        <v>0</v>
      </c>
    </row>
    <row r="91" spans="1:61" ht="12.75">
      <c r="A91" s="44" t="s">
        <v>165</v>
      </c>
      <c r="B91" s="44" t="s">
        <v>306</v>
      </c>
      <c r="C91" s="160" t="s">
        <v>482</v>
      </c>
      <c r="D91" s="161"/>
      <c r="E91" s="161"/>
      <c r="F91" s="44" t="s">
        <v>595</v>
      </c>
      <c r="G91" s="54">
        <v>120</v>
      </c>
      <c r="H91" s="54">
        <v>0</v>
      </c>
      <c r="I91" s="54">
        <f>G91*AN91</f>
        <v>0</v>
      </c>
      <c r="J91" s="54">
        <f>G91*AO91</f>
        <v>0</v>
      </c>
      <c r="K91" s="54">
        <f>G91*H91</f>
        <v>0</v>
      </c>
      <c r="Y91" s="36">
        <f>IF(AP91="5",BI91,0)</f>
        <v>0</v>
      </c>
      <c r="AA91" s="36">
        <f>IF(AP91="1",BG91,0)</f>
        <v>0</v>
      </c>
      <c r="AB91" s="36">
        <f>IF(AP91="1",BH91,0)</f>
        <v>0</v>
      </c>
      <c r="AC91" s="36">
        <f>IF(AP91="7",BG91,0)</f>
        <v>0</v>
      </c>
      <c r="AD91" s="36">
        <f>IF(AP91="7",BH91,0)</f>
        <v>0</v>
      </c>
      <c r="AE91" s="36">
        <f>IF(AP91="2",BG91,0)</f>
        <v>0</v>
      </c>
      <c r="AF91" s="36">
        <f>IF(AP91="2",BH91,0)</f>
        <v>0</v>
      </c>
      <c r="AG91" s="36">
        <f>IF(AP91="0",BI91,0)</f>
        <v>0</v>
      </c>
      <c r="AH91" s="59" t="s">
        <v>71</v>
      </c>
      <c r="AI91" s="54">
        <f>IF(AM91=0,K91,0)</f>
        <v>0</v>
      </c>
      <c r="AJ91" s="54">
        <f>IF(AM91=15,K91,0)</f>
        <v>0</v>
      </c>
      <c r="AK91" s="54">
        <f>IF(AM91=21,K91,0)</f>
        <v>0</v>
      </c>
      <c r="AM91" s="36">
        <v>21</v>
      </c>
      <c r="AN91" s="36">
        <f>H91*0.0123809523809524</f>
        <v>0</v>
      </c>
      <c r="AO91" s="36">
        <f>H91*(1-0.0123809523809524)</f>
        <v>0</v>
      </c>
      <c r="AP91" s="60" t="s">
        <v>117</v>
      </c>
      <c r="AU91" s="36">
        <f>AV91+AW91</f>
        <v>0</v>
      </c>
      <c r="AV91" s="36">
        <f>G91*AN91</f>
        <v>0</v>
      </c>
      <c r="AW91" s="36">
        <f>G91*AO91</f>
        <v>0</v>
      </c>
      <c r="AX91" s="62" t="s">
        <v>632</v>
      </c>
      <c r="AY91" s="62" t="s">
        <v>652</v>
      </c>
      <c r="AZ91" s="59" t="s">
        <v>662</v>
      </c>
      <c r="BB91" s="36">
        <f>AV91+AW91</f>
        <v>0</v>
      </c>
      <c r="BC91" s="36">
        <f>H91/(100-BD91)*100</f>
        <v>0</v>
      </c>
      <c r="BD91" s="36">
        <v>0</v>
      </c>
      <c r="BE91" s="36">
        <f>91</f>
        <v>91</v>
      </c>
      <c r="BG91" s="54">
        <f>G91*AN91</f>
        <v>0</v>
      </c>
      <c r="BH91" s="54">
        <f>G91*AO91</f>
        <v>0</v>
      </c>
      <c r="BI91" s="54">
        <f>G91*H91</f>
        <v>0</v>
      </c>
    </row>
    <row r="92" spans="1:46" ht="12.75">
      <c r="A92" s="43"/>
      <c r="B92" s="51" t="s">
        <v>202</v>
      </c>
      <c r="C92" s="158" t="s">
        <v>483</v>
      </c>
      <c r="D92" s="159"/>
      <c r="E92" s="159"/>
      <c r="F92" s="43" t="s">
        <v>69</v>
      </c>
      <c r="G92" s="43" t="s">
        <v>69</v>
      </c>
      <c r="H92" s="43" t="s">
        <v>69</v>
      </c>
      <c r="I92" s="64">
        <f>SUM(I93:I104)</f>
        <v>0</v>
      </c>
      <c r="J92" s="64">
        <f>SUM(J93:J104)</f>
        <v>0</v>
      </c>
      <c r="K92" s="64">
        <f>SUM(K93:K104)</f>
        <v>0</v>
      </c>
      <c r="AH92" s="59" t="s">
        <v>71</v>
      </c>
      <c r="AR92" s="64">
        <f>SUM(AI93:AI104)</f>
        <v>0</v>
      </c>
      <c r="AS92" s="64">
        <f>SUM(AJ93:AJ104)</f>
        <v>0</v>
      </c>
      <c r="AT92" s="64">
        <f>SUM(AK93:AK104)</f>
        <v>0</v>
      </c>
    </row>
    <row r="93" spans="1:61" ht="12.75">
      <c r="A93" s="44" t="s">
        <v>166</v>
      </c>
      <c r="B93" s="44" t="s">
        <v>307</v>
      </c>
      <c r="C93" s="160" t="s">
        <v>484</v>
      </c>
      <c r="D93" s="161"/>
      <c r="E93" s="161"/>
      <c r="F93" s="44" t="s">
        <v>595</v>
      </c>
      <c r="G93" s="54">
        <v>34.33</v>
      </c>
      <c r="H93" s="54">
        <v>0</v>
      </c>
      <c r="I93" s="54">
        <f>G93*AN93</f>
        <v>0</v>
      </c>
      <c r="J93" s="54">
        <f>G93*AO93</f>
        <v>0</v>
      </c>
      <c r="K93" s="54">
        <f>G93*H93</f>
        <v>0</v>
      </c>
      <c r="Y93" s="36">
        <f>IF(AP93="5",BI93,0)</f>
        <v>0</v>
      </c>
      <c r="AA93" s="36">
        <f>IF(AP93="1",BG93,0)</f>
        <v>0</v>
      </c>
      <c r="AB93" s="36">
        <f>IF(AP93="1",BH93,0)</f>
        <v>0</v>
      </c>
      <c r="AC93" s="36">
        <f>IF(AP93="7",BG93,0)</f>
        <v>0</v>
      </c>
      <c r="AD93" s="36">
        <f>IF(AP93="7",BH93,0)</f>
        <v>0</v>
      </c>
      <c r="AE93" s="36">
        <f>IF(AP93="2",BG93,0)</f>
        <v>0</v>
      </c>
      <c r="AF93" s="36">
        <f>IF(AP93="2",BH93,0)</f>
        <v>0</v>
      </c>
      <c r="AG93" s="36">
        <f>IF(AP93="0",BI93,0)</f>
        <v>0</v>
      </c>
      <c r="AH93" s="59" t="s">
        <v>71</v>
      </c>
      <c r="AI93" s="54">
        <f>IF(AM93=0,K93,0)</f>
        <v>0</v>
      </c>
      <c r="AJ93" s="54">
        <f>IF(AM93=15,K93,0)</f>
        <v>0</v>
      </c>
      <c r="AK93" s="54">
        <f>IF(AM93=21,K93,0)</f>
        <v>0</v>
      </c>
      <c r="AM93" s="36">
        <v>21</v>
      </c>
      <c r="AN93" s="36">
        <f>H93*0</f>
        <v>0</v>
      </c>
      <c r="AO93" s="36">
        <f>H93*(1-0)</f>
        <v>0</v>
      </c>
      <c r="AP93" s="60" t="s">
        <v>117</v>
      </c>
      <c r="AU93" s="36">
        <f>AV93+AW93</f>
        <v>0</v>
      </c>
      <c r="AV93" s="36">
        <f>G93*AN93</f>
        <v>0</v>
      </c>
      <c r="AW93" s="36">
        <f>G93*AO93</f>
        <v>0</v>
      </c>
      <c r="AX93" s="62" t="s">
        <v>633</v>
      </c>
      <c r="AY93" s="62" t="s">
        <v>652</v>
      </c>
      <c r="AZ93" s="59" t="s">
        <v>662</v>
      </c>
      <c r="BB93" s="36">
        <f>AV93+AW93</f>
        <v>0</v>
      </c>
      <c r="BC93" s="36">
        <f>H93/(100-BD93)*100</f>
        <v>0</v>
      </c>
      <c r="BD93" s="36">
        <v>0</v>
      </c>
      <c r="BE93" s="36">
        <f>93</f>
        <v>93</v>
      </c>
      <c r="BG93" s="54">
        <f>G93*AN93</f>
        <v>0</v>
      </c>
      <c r="BH93" s="54">
        <f>G93*AO93</f>
        <v>0</v>
      </c>
      <c r="BI93" s="54">
        <f>G93*H93</f>
        <v>0</v>
      </c>
    </row>
    <row r="94" spans="1:61" ht="12.75">
      <c r="A94" s="44" t="s">
        <v>167</v>
      </c>
      <c r="B94" s="44" t="s">
        <v>308</v>
      </c>
      <c r="C94" s="160" t="s">
        <v>485</v>
      </c>
      <c r="D94" s="161"/>
      <c r="E94" s="161"/>
      <c r="F94" s="44" t="s">
        <v>595</v>
      </c>
      <c r="G94" s="54">
        <v>53.52</v>
      </c>
      <c r="H94" s="54">
        <v>0</v>
      </c>
      <c r="I94" s="54">
        <f>G94*AN94</f>
        <v>0</v>
      </c>
      <c r="J94" s="54">
        <f>G94*AO94</f>
        <v>0</v>
      </c>
      <c r="K94" s="54">
        <f>G94*H94</f>
        <v>0</v>
      </c>
      <c r="Y94" s="36">
        <f>IF(AP94="5",BI94,0)</f>
        <v>0</v>
      </c>
      <c r="AA94" s="36">
        <f>IF(AP94="1",BG94,0)</f>
        <v>0</v>
      </c>
      <c r="AB94" s="36">
        <f>IF(AP94="1",BH94,0)</f>
        <v>0</v>
      </c>
      <c r="AC94" s="36">
        <f>IF(AP94="7",BG94,0)</f>
        <v>0</v>
      </c>
      <c r="AD94" s="36">
        <f>IF(AP94="7",BH94,0)</f>
        <v>0</v>
      </c>
      <c r="AE94" s="36">
        <f>IF(AP94="2",BG94,0)</f>
        <v>0</v>
      </c>
      <c r="AF94" s="36">
        <f>IF(AP94="2",BH94,0)</f>
        <v>0</v>
      </c>
      <c r="AG94" s="36">
        <f>IF(AP94="0",BI94,0)</f>
        <v>0</v>
      </c>
      <c r="AH94" s="59" t="s">
        <v>71</v>
      </c>
      <c r="AI94" s="54">
        <f>IF(AM94=0,K94,0)</f>
        <v>0</v>
      </c>
      <c r="AJ94" s="54">
        <f>IF(AM94=15,K94,0)</f>
        <v>0</v>
      </c>
      <c r="AK94" s="54">
        <f>IF(AM94=21,K94,0)</f>
        <v>0</v>
      </c>
      <c r="AM94" s="36">
        <v>21</v>
      </c>
      <c r="AN94" s="36">
        <f>H94*0</f>
        <v>0</v>
      </c>
      <c r="AO94" s="36">
        <f>H94*(1-0)</f>
        <v>0</v>
      </c>
      <c r="AP94" s="60" t="s">
        <v>117</v>
      </c>
      <c r="AU94" s="36">
        <f>AV94+AW94</f>
        <v>0</v>
      </c>
      <c r="AV94" s="36">
        <f>G94*AN94</f>
        <v>0</v>
      </c>
      <c r="AW94" s="36">
        <f>G94*AO94</f>
        <v>0</v>
      </c>
      <c r="AX94" s="62" t="s">
        <v>633</v>
      </c>
      <c r="AY94" s="62" t="s">
        <v>652</v>
      </c>
      <c r="AZ94" s="59" t="s">
        <v>662</v>
      </c>
      <c r="BB94" s="36">
        <f>AV94+AW94</f>
        <v>0</v>
      </c>
      <c r="BC94" s="36">
        <f>H94/(100-BD94)*100</f>
        <v>0</v>
      </c>
      <c r="BD94" s="36">
        <v>0</v>
      </c>
      <c r="BE94" s="36">
        <f>94</f>
        <v>94</v>
      </c>
      <c r="BG94" s="54">
        <f>G94*AN94</f>
        <v>0</v>
      </c>
      <c r="BH94" s="54">
        <f>G94*AO94</f>
        <v>0</v>
      </c>
      <c r="BI94" s="54">
        <f>G94*H94</f>
        <v>0</v>
      </c>
    </row>
    <row r="95" spans="3:5" ht="12.75">
      <c r="C95" s="164" t="s">
        <v>486</v>
      </c>
      <c r="D95" s="165"/>
      <c r="E95" s="165"/>
    </row>
    <row r="96" spans="1:61" ht="12.75">
      <c r="A96" s="44" t="s">
        <v>168</v>
      </c>
      <c r="B96" s="44" t="s">
        <v>309</v>
      </c>
      <c r="C96" s="160" t="s">
        <v>487</v>
      </c>
      <c r="D96" s="161"/>
      <c r="E96" s="161"/>
      <c r="F96" s="44" t="s">
        <v>595</v>
      </c>
      <c r="G96" s="54">
        <v>53.52</v>
      </c>
      <c r="H96" s="54">
        <v>0</v>
      </c>
      <c r="I96" s="54">
        <f>G96*AN96</f>
        <v>0</v>
      </c>
      <c r="J96" s="54">
        <f>G96*AO96</f>
        <v>0</v>
      </c>
      <c r="K96" s="54">
        <f>G96*H96</f>
        <v>0</v>
      </c>
      <c r="Y96" s="36">
        <f>IF(AP96="5",BI96,0)</f>
        <v>0</v>
      </c>
      <c r="AA96" s="36">
        <f>IF(AP96="1",BG96,0)</f>
        <v>0</v>
      </c>
      <c r="AB96" s="36">
        <f>IF(AP96="1",BH96,0)</f>
        <v>0</v>
      </c>
      <c r="AC96" s="36">
        <f>IF(AP96="7",BG96,0)</f>
        <v>0</v>
      </c>
      <c r="AD96" s="36">
        <f>IF(AP96="7",BH96,0)</f>
        <v>0</v>
      </c>
      <c r="AE96" s="36">
        <f>IF(AP96="2",BG96,0)</f>
        <v>0</v>
      </c>
      <c r="AF96" s="36">
        <f>IF(AP96="2",BH96,0)</f>
        <v>0</v>
      </c>
      <c r="AG96" s="36">
        <f>IF(AP96="0",BI96,0)</f>
        <v>0</v>
      </c>
      <c r="AH96" s="59" t="s">
        <v>71</v>
      </c>
      <c r="AI96" s="54">
        <f>IF(AM96=0,K96,0)</f>
        <v>0</v>
      </c>
      <c r="AJ96" s="54">
        <f>IF(AM96=15,K96,0)</f>
        <v>0</v>
      </c>
      <c r="AK96" s="54">
        <f>IF(AM96=21,K96,0)</f>
        <v>0</v>
      </c>
      <c r="AM96" s="36">
        <v>21</v>
      </c>
      <c r="AN96" s="36">
        <f>H96*0</f>
        <v>0</v>
      </c>
      <c r="AO96" s="36">
        <f>H96*(1-0)</f>
        <v>0</v>
      </c>
      <c r="AP96" s="60" t="s">
        <v>117</v>
      </c>
      <c r="AU96" s="36">
        <f>AV96+AW96</f>
        <v>0</v>
      </c>
      <c r="AV96" s="36">
        <f>G96*AN96</f>
        <v>0</v>
      </c>
      <c r="AW96" s="36">
        <f>G96*AO96</f>
        <v>0</v>
      </c>
      <c r="AX96" s="62" t="s">
        <v>633</v>
      </c>
      <c r="AY96" s="62" t="s">
        <v>652</v>
      </c>
      <c r="AZ96" s="59" t="s">
        <v>662</v>
      </c>
      <c r="BB96" s="36">
        <f>AV96+AW96</f>
        <v>0</v>
      </c>
      <c r="BC96" s="36">
        <f>H96/(100-BD96)*100</f>
        <v>0</v>
      </c>
      <c r="BD96" s="36">
        <v>0</v>
      </c>
      <c r="BE96" s="36">
        <f>96</f>
        <v>96</v>
      </c>
      <c r="BG96" s="54">
        <f>G96*AN96</f>
        <v>0</v>
      </c>
      <c r="BH96" s="54">
        <f>G96*AO96</f>
        <v>0</v>
      </c>
      <c r="BI96" s="54">
        <f>G96*H96</f>
        <v>0</v>
      </c>
    </row>
    <row r="97" spans="1:61" ht="12.75">
      <c r="A97" s="44" t="s">
        <v>169</v>
      </c>
      <c r="B97" s="44" t="s">
        <v>310</v>
      </c>
      <c r="C97" s="160" t="s">
        <v>488</v>
      </c>
      <c r="D97" s="161"/>
      <c r="E97" s="161"/>
      <c r="F97" s="44" t="s">
        <v>595</v>
      </c>
      <c r="G97" s="54">
        <v>37.8</v>
      </c>
      <c r="H97" s="54">
        <v>0</v>
      </c>
      <c r="I97" s="54">
        <f>G97*AN97</f>
        <v>0</v>
      </c>
      <c r="J97" s="54">
        <f>G97*AO97</f>
        <v>0</v>
      </c>
      <c r="K97" s="54">
        <f>G97*H97</f>
        <v>0</v>
      </c>
      <c r="Y97" s="36">
        <f>IF(AP97="5",BI97,0)</f>
        <v>0</v>
      </c>
      <c r="AA97" s="36">
        <f>IF(AP97="1",BG97,0)</f>
        <v>0</v>
      </c>
      <c r="AB97" s="36">
        <f>IF(AP97="1",BH97,0)</f>
        <v>0</v>
      </c>
      <c r="AC97" s="36">
        <f>IF(AP97="7",BG97,0)</f>
        <v>0</v>
      </c>
      <c r="AD97" s="36">
        <f>IF(AP97="7",BH97,0)</f>
        <v>0</v>
      </c>
      <c r="AE97" s="36">
        <f>IF(AP97="2",BG97,0)</f>
        <v>0</v>
      </c>
      <c r="AF97" s="36">
        <f>IF(AP97="2",BH97,0)</f>
        <v>0</v>
      </c>
      <c r="AG97" s="36">
        <f>IF(AP97="0",BI97,0)</f>
        <v>0</v>
      </c>
      <c r="AH97" s="59" t="s">
        <v>71</v>
      </c>
      <c r="AI97" s="54">
        <f>IF(AM97=0,K97,0)</f>
        <v>0</v>
      </c>
      <c r="AJ97" s="54">
        <f>IF(AM97=15,K97,0)</f>
        <v>0</v>
      </c>
      <c r="AK97" s="54">
        <f>IF(AM97=21,K97,0)</f>
        <v>0</v>
      </c>
      <c r="AM97" s="36">
        <v>21</v>
      </c>
      <c r="AN97" s="36">
        <f>H97*0.160054719562243</f>
        <v>0</v>
      </c>
      <c r="AO97" s="36">
        <f>H97*(1-0.160054719562243)</f>
        <v>0</v>
      </c>
      <c r="AP97" s="60" t="s">
        <v>117</v>
      </c>
      <c r="AU97" s="36">
        <f>AV97+AW97</f>
        <v>0</v>
      </c>
      <c r="AV97" s="36">
        <f>G97*AN97</f>
        <v>0</v>
      </c>
      <c r="AW97" s="36">
        <f>G97*AO97</f>
        <v>0</v>
      </c>
      <c r="AX97" s="62" t="s">
        <v>633</v>
      </c>
      <c r="AY97" s="62" t="s">
        <v>652</v>
      </c>
      <c r="AZ97" s="59" t="s">
        <v>662</v>
      </c>
      <c r="BB97" s="36">
        <f>AV97+AW97</f>
        <v>0</v>
      </c>
      <c r="BC97" s="36">
        <f>H97/(100-BD97)*100</f>
        <v>0</v>
      </c>
      <c r="BD97" s="36">
        <v>0</v>
      </c>
      <c r="BE97" s="36">
        <f>97</f>
        <v>97</v>
      </c>
      <c r="BG97" s="54">
        <f>G97*AN97</f>
        <v>0</v>
      </c>
      <c r="BH97" s="54">
        <f>G97*AO97</f>
        <v>0</v>
      </c>
      <c r="BI97" s="54">
        <f>G97*H97</f>
        <v>0</v>
      </c>
    </row>
    <row r="98" spans="1:61" ht="12.75">
      <c r="A98" s="44" t="s">
        <v>170</v>
      </c>
      <c r="B98" s="44" t="s">
        <v>311</v>
      </c>
      <c r="C98" s="160" t="s">
        <v>489</v>
      </c>
      <c r="D98" s="161"/>
      <c r="E98" s="161"/>
      <c r="F98" s="44" t="s">
        <v>595</v>
      </c>
      <c r="G98" s="54">
        <v>1</v>
      </c>
      <c r="H98" s="54">
        <v>0</v>
      </c>
      <c r="I98" s="54">
        <f>G98*AN98</f>
        <v>0</v>
      </c>
      <c r="J98" s="54">
        <f>G98*AO98</f>
        <v>0</v>
      </c>
      <c r="K98" s="54">
        <f>G98*H98</f>
        <v>0</v>
      </c>
      <c r="Y98" s="36">
        <f>IF(AP98="5",BI98,0)</f>
        <v>0</v>
      </c>
      <c r="AA98" s="36">
        <f>IF(AP98="1",BG98,0)</f>
        <v>0</v>
      </c>
      <c r="AB98" s="36">
        <f>IF(AP98="1",BH98,0)</f>
        <v>0</v>
      </c>
      <c r="AC98" s="36">
        <f>IF(AP98="7",BG98,0)</f>
        <v>0</v>
      </c>
      <c r="AD98" s="36">
        <f>IF(AP98="7",BH98,0)</f>
        <v>0</v>
      </c>
      <c r="AE98" s="36">
        <f>IF(AP98="2",BG98,0)</f>
        <v>0</v>
      </c>
      <c r="AF98" s="36">
        <f>IF(AP98="2",BH98,0)</f>
        <v>0</v>
      </c>
      <c r="AG98" s="36">
        <f>IF(AP98="0",BI98,0)</f>
        <v>0</v>
      </c>
      <c r="AH98" s="59" t="s">
        <v>71</v>
      </c>
      <c r="AI98" s="54">
        <f>IF(AM98=0,K98,0)</f>
        <v>0</v>
      </c>
      <c r="AJ98" s="54">
        <f>IF(AM98=15,K98,0)</f>
        <v>0</v>
      </c>
      <c r="AK98" s="54">
        <f>IF(AM98=21,K98,0)</f>
        <v>0</v>
      </c>
      <c r="AM98" s="36">
        <v>21</v>
      </c>
      <c r="AN98" s="36">
        <f>H98*0.0755766621438263</f>
        <v>0</v>
      </c>
      <c r="AO98" s="36">
        <f>H98*(1-0.0755766621438263)</f>
        <v>0</v>
      </c>
      <c r="AP98" s="60" t="s">
        <v>117</v>
      </c>
      <c r="AU98" s="36">
        <f>AV98+AW98</f>
        <v>0</v>
      </c>
      <c r="AV98" s="36">
        <f>G98*AN98</f>
        <v>0</v>
      </c>
      <c r="AW98" s="36">
        <f>G98*AO98</f>
        <v>0</v>
      </c>
      <c r="AX98" s="62" t="s">
        <v>633</v>
      </c>
      <c r="AY98" s="62" t="s">
        <v>652</v>
      </c>
      <c r="AZ98" s="59" t="s">
        <v>662</v>
      </c>
      <c r="BB98" s="36">
        <f>AV98+AW98</f>
        <v>0</v>
      </c>
      <c r="BC98" s="36">
        <f>H98/(100-BD98)*100</f>
        <v>0</v>
      </c>
      <c r="BD98" s="36">
        <v>0</v>
      </c>
      <c r="BE98" s="36">
        <f>98</f>
        <v>98</v>
      </c>
      <c r="BG98" s="54">
        <f>G98*AN98</f>
        <v>0</v>
      </c>
      <c r="BH98" s="54">
        <f>G98*AO98</f>
        <v>0</v>
      </c>
      <c r="BI98" s="54">
        <f>G98*H98</f>
        <v>0</v>
      </c>
    </row>
    <row r="99" spans="1:61" ht="12.75">
      <c r="A99" s="44" t="s">
        <v>171</v>
      </c>
      <c r="B99" s="44" t="s">
        <v>312</v>
      </c>
      <c r="C99" s="160" t="s">
        <v>490</v>
      </c>
      <c r="D99" s="161"/>
      <c r="E99" s="161"/>
      <c r="F99" s="44" t="s">
        <v>591</v>
      </c>
      <c r="G99" s="54">
        <v>7.88</v>
      </c>
      <c r="H99" s="54">
        <v>0</v>
      </c>
      <c r="I99" s="54">
        <f>G99*AN99</f>
        <v>0</v>
      </c>
      <c r="J99" s="54">
        <f>G99*AO99</f>
        <v>0</v>
      </c>
      <c r="K99" s="54">
        <f>G99*H99</f>
        <v>0</v>
      </c>
      <c r="Y99" s="36">
        <f>IF(AP99="5",BI99,0)</f>
        <v>0</v>
      </c>
      <c r="AA99" s="36">
        <f>IF(AP99="1",BG99,0)</f>
        <v>0</v>
      </c>
      <c r="AB99" s="36">
        <f>IF(AP99="1",BH99,0)</f>
        <v>0</v>
      </c>
      <c r="AC99" s="36">
        <f>IF(AP99="7",BG99,0)</f>
        <v>0</v>
      </c>
      <c r="AD99" s="36">
        <f>IF(AP99="7",BH99,0)</f>
        <v>0</v>
      </c>
      <c r="AE99" s="36">
        <f>IF(AP99="2",BG99,0)</f>
        <v>0</v>
      </c>
      <c r="AF99" s="36">
        <f>IF(AP99="2",BH99,0)</f>
        <v>0</v>
      </c>
      <c r="AG99" s="36">
        <f>IF(AP99="0",BI99,0)</f>
        <v>0</v>
      </c>
      <c r="AH99" s="59" t="s">
        <v>71</v>
      </c>
      <c r="AI99" s="54">
        <f>IF(AM99=0,K99,0)</f>
        <v>0</v>
      </c>
      <c r="AJ99" s="54">
        <f>IF(AM99=15,K99,0)</f>
        <v>0</v>
      </c>
      <c r="AK99" s="54">
        <f>IF(AM99=21,K99,0)</f>
        <v>0</v>
      </c>
      <c r="AM99" s="36">
        <v>21</v>
      </c>
      <c r="AN99" s="36">
        <f>H99*0</f>
        <v>0</v>
      </c>
      <c r="AO99" s="36">
        <f>H99*(1-0)</f>
        <v>0</v>
      </c>
      <c r="AP99" s="60" t="s">
        <v>117</v>
      </c>
      <c r="AU99" s="36">
        <f>AV99+AW99</f>
        <v>0</v>
      </c>
      <c r="AV99" s="36">
        <f>G99*AN99</f>
        <v>0</v>
      </c>
      <c r="AW99" s="36">
        <f>G99*AO99</f>
        <v>0</v>
      </c>
      <c r="AX99" s="62" t="s">
        <v>633</v>
      </c>
      <c r="AY99" s="62" t="s">
        <v>652</v>
      </c>
      <c r="AZ99" s="59" t="s">
        <v>662</v>
      </c>
      <c r="BB99" s="36">
        <f>AV99+AW99</f>
        <v>0</v>
      </c>
      <c r="BC99" s="36">
        <f>H99/(100-BD99)*100</f>
        <v>0</v>
      </c>
      <c r="BD99" s="36">
        <v>0</v>
      </c>
      <c r="BE99" s="36">
        <f>99</f>
        <v>99</v>
      </c>
      <c r="BG99" s="54">
        <f>G99*AN99</f>
        <v>0</v>
      </c>
      <c r="BH99" s="54">
        <f>G99*AO99</f>
        <v>0</v>
      </c>
      <c r="BI99" s="54">
        <f>G99*H99</f>
        <v>0</v>
      </c>
    </row>
    <row r="100" spans="3:5" ht="12.75">
      <c r="C100" s="164" t="s">
        <v>491</v>
      </c>
      <c r="D100" s="165"/>
      <c r="E100" s="165"/>
    </row>
    <row r="101" spans="1:61" ht="12.75">
      <c r="A101" s="44" t="s">
        <v>172</v>
      </c>
      <c r="B101" s="44" t="s">
        <v>313</v>
      </c>
      <c r="C101" s="160" t="s">
        <v>492</v>
      </c>
      <c r="D101" s="161"/>
      <c r="E101" s="161"/>
      <c r="F101" s="44" t="s">
        <v>593</v>
      </c>
      <c r="G101" s="54">
        <v>18</v>
      </c>
      <c r="H101" s="54">
        <v>0</v>
      </c>
      <c r="I101" s="54">
        <f>G101*AN101</f>
        <v>0</v>
      </c>
      <c r="J101" s="54">
        <f>G101*AO101</f>
        <v>0</v>
      </c>
      <c r="K101" s="54">
        <f>G101*H101</f>
        <v>0</v>
      </c>
      <c r="Y101" s="36">
        <f>IF(AP101="5",BI101,0)</f>
        <v>0</v>
      </c>
      <c r="AA101" s="36">
        <f>IF(AP101="1",BG101,0)</f>
        <v>0</v>
      </c>
      <c r="AB101" s="36">
        <f>IF(AP101="1",BH101,0)</f>
        <v>0</v>
      </c>
      <c r="AC101" s="36">
        <f>IF(AP101="7",BG101,0)</f>
        <v>0</v>
      </c>
      <c r="AD101" s="36">
        <f>IF(AP101="7",BH101,0)</f>
        <v>0</v>
      </c>
      <c r="AE101" s="36">
        <f>IF(AP101="2",BG101,0)</f>
        <v>0</v>
      </c>
      <c r="AF101" s="36">
        <f>IF(AP101="2",BH101,0)</f>
        <v>0</v>
      </c>
      <c r="AG101" s="36">
        <f>IF(AP101="0",BI101,0)</f>
        <v>0</v>
      </c>
      <c r="AH101" s="59" t="s">
        <v>71</v>
      </c>
      <c r="AI101" s="54">
        <f>IF(AM101=0,K101,0)</f>
        <v>0</v>
      </c>
      <c r="AJ101" s="54">
        <f>IF(AM101=15,K101,0)</f>
        <v>0</v>
      </c>
      <c r="AK101" s="54">
        <f>IF(AM101=21,K101,0)</f>
        <v>0</v>
      </c>
      <c r="AM101" s="36">
        <v>21</v>
      </c>
      <c r="AN101" s="36">
        <f>H101*0.196601419660142</f>
        <v>0</v>
      </c>
      <c r="AO101" s="36">
        <f>H101*(1-0.196601419660142)</f>
        <v>0</v>
      </c>
      <c r="AP101" s="60" t="s">
        <v>117</v>
      </c>
      <c r="AU101" s="36">
        <f>AV101+AW101</f>
        <v>0</v>
      </c>
      <c r="AV101" s="36">
        <f>G101*AN101</f>
        <v>0</v>
      </c>
      <c r="AW101" s="36">
        <f>G101*AO101</f>
        <v>0</v>
      </c>
      <c r="AX101" s="62" t="s">
        <v>633</v>
      </c>
      <c r="AY101" s="62" t="s">
        <v>652</v>
      </c>
      <c r="AZ101" s="59" t="s">
        <v>662</v>
      </c>
      <c r="BB101" s="36">
        <f>AV101+AW101</f>
        <v>0</v>
      </c>
      <c r="BC101" s="36">
        <f>H101/(100-BD101)*100</f>
        <v>0</v>
      </c>
      <c r="BD101" s="36">
        <v>0</v>
      </c>
      <c r="BE101" s="36">
        <f>101</f>
        <v>101</v>
      </c>
      <c r="BG101" s="54">
        <f>G101*AN101</f>
        <v>0</v>
      </c>
      <c r="BH101" s="54">
        <f>G101*AO101</f>
        <v>0</v>
      </c>
      <c r="BI101" s="54">
        <f>G101*H101</f>
        <v>0</v>
      </c>
    </row>
    <row r="102" spans="1:61" ht="12.75">
      <c r="A102" s="44" t="s">
        <v>173</v>
      </c>
      <c r="B102" s="44" t="s">
        <v>314</v>
      </c>
      <c r="C102" s="160" t="s">
        <v>493</v>
      </c>
      <c r="D102" s="161"/>
      <c r="E102" s="161"/>
      <c r="F102" s="44" t="s">
        <v>593</v>
      </c>
      <c r="G102" s="54">
        <v>2.4</v>
      </c>
      <c r="H102" s="54">
        <v>0</v>
      </c>
      <c r="I102" s="54">
        <f>G102*AN102</f>
        <v>0</v>
      </c>
      <c r="J102" s="54">
        <f>G102*AO102</f>
        <v>0</v>
      </c>
      <c r="K102" s="54">
        <f>G102*H102</f>
        <v>0</v>
      </c>
      <c r="Y102" s="36">
        <f>IF(AP102="5",BI102,0)</f>
        <v>0</v>
      </c>
      <c r="AA102" s="36">
        <f>IF(AP102="1",BG102,0)</f>
        <v>0</v>
      </c>
      <c r="AB102" s="36">
        <f>IF(AP102="1",BH102,0)</f>
        <v>0</v>
      </c>
      <c r="AC102" s="36">
        <f>IF(AP102="7",BG102,0)</f>
        <v>0</v>
      </c>
      <c r="AD102" s="36">
        <f>IF(AP102="7",BH102,0)</f>
        <v>0</v>
      </c>
      <c r="AE102" s="36">
        <f>IF(AP102="2",BG102,0)</f>
        <v>0</v>
      </c>
      <c r="AF102" s="36">
        <f>IF(AP102="2",BH102,0)</f>
        <v>0</v>
      </c>
      <c r="AG102" s="36">
        <f>IF(AP102="0",BI102,0)</f>
        <v>0</v>
      </c>
      <c r="AH102" s="59" t="s">
        <v>71</v>
      </c>
      <c r="AI102" s="54">
        <f>IF(AM102=0,K102,0)</f>
        <v>0</v>
      </c>
      <c r="AJ102" s="54">
        <f>IF(AM102=15,K102,0)</f>
        <v>0</v>
      </c>
      <c r="AK102" s="54">
        <f>IF(AM102=21,K102,0)</f>
        <v>0</v>
      </c>
      <c r="AM102" s="36">
        <v>21</v>
      </c>
      <c r="AN102" s="36">
        <f>H102*0.0798280802292263</f>
        <v>0</v>
      </c>
      <c r="AO102" s="36">
        <f>H102*(1-0.0798280802292263)</f>
        <v>0</v>
      </c>
      <c r="AP102" s="60" t="s">
        <v>117</v>
      </c>
      <c r="AU102" s="36">
        <f>AV102+AW102</f>
        <v>0</v>
      </c>
      <c r="AV102" s="36">
        <f>G102*AN102</f>
        <v>0</v>
      </c>
      <c r="AW102" s="36">
        <f>G102*AO102</f>
        <v>0</v>
      </c>
      <c r="AX102" s="62" t="s">
        <v>633</v>
      </c>
      <c r="AY102" s="62" t="s">
        <v>652</v>
      </c>
      <c r="AZ102" s="59" t="s">
        <v>662</v>
      </c>
      <c r="BB102" s="36">
        <f>AV102+AW102</f>
        <v>0</v>
      </c>
      <c r="BC102" s="36">
        <f>H102/(100-BD102)*100</f>
        <v>0</v>
      </c>
      <c r="BD102" s="36">
        <v>0</v>
      </c>
      <c r="BE102" s="36">
        <f>102</f>
        <v>102</v>
      </c>
      <c r="BG102" s="54">
        <f>G102*AN102</f>
        <v>0</v>
      </c>
      <c r="BH102" s="54">
        <f>G102*AO102</f>
        <v>0</v>
      </c>
      <c r="BI102" s="54">
        <f>G102*H102</f>
        <v>0</v>
      </c>
    </row>
    <row r="103" spans="1:61" ht="12.75">
      <c r="A103" s="44" t="s">
        <v>174</v>
      </c>
      <c r="B103" s="44" t="s">
        <v>315</v>
      </c>
      <c r="C103" s="160" t="s">
        <v>494</v>
      </c>
      <c r="D103" s="161"/>
      <c r="E103" s="161"/>
      <c r="F103" s="44" t="s">
        <v>595</v>
      </c>
      <c r="G103" s="54">
        <v>9</v>
      </c>
      <c r="H103" s="54">
        <v>0</v>
      </c>
      <c r="I103" s="54">
        <f>G103*AN103</f>
        <v>0</v>
      </c>
      <c r="J103" s="54">
        <f>G103*AO103</f>
        <v>0</v>
      </c>
      <c r="K103" s="54">
        <f>G103*H103</f>
        <v>0</v>
      </c>
      <c r="Y103" s="36">
        <f>IF(AP103="5",BI103,0)</f>
        <v>0</v>
      </c>
      <c r="AA103" s="36">
        <f>IF(AP103="1",BG103,0)</f>
        <v>0</v>
      </c>
      <c r="AB103" s="36">
        <f>IF(AP103="1",BH103,0)</f>
        <v>0</v>
      </c>
      <c r="AC103" s="36">
        <f>IF(AP103="7",BG103,0)</f>
        <v>0</v>
      </c>
      <c r="AD103" s="36">
        <f>IF(AP103="7",BH103,0)</f>
        <v>0</v>
      </c>
      <c r="AE103" s="36">
        <f>IF(AP103="2",BG103,0)</f>
        <v>0</v>
      </c>
      <c r="AF103" s="36">
        <f>IF(AP103="2",BH103,0)</f>
        <v>0</v>
      </c>
      <c r="AG103" s="36">
        <f>IF(AP103="0",BI103,0)</f>
        <v>0</v>
      </c>
      <c r="AH103" s="59" t="s">
        <v>71</v>
      </c>
      <c r="AI103" s="54">
        <f>IF(AM103=0,K103,0)</f>
        <v>0</v>
      </c>
      <c r="AJ103" s="54">
        <f>IF(AM103=15,K103,0)</f>
        <v>0</v>
      </c>
      <c r="AK103" s="54">
        <f>IF(AM103=21,K103,0)</f>
        <v>0</v>
      </c>
      <c r="AM103" s="36">
        <v>21</v>
      </c>
      <c r="AN103" s="36">
        <f>H103*0.148732394366197</f>
        <v>0</v>
      </c>
      <c r="AO103" s="36">
        <f>H103*(1-0.148732394366197)</f>
        <v>0</v>
      </c>
      <c r="AP103" s="60" t="s">
        <v>117</v>
      </c>
      <c r="AU103" s="36">
        <f>AV103+AW103</f>
        <v>0</v>
      </c>
      <c r="AV103" s="36">
        <f>G103*AN103</f>
        <v>0</v>
      </c>
      <c r="AW103" s="36">
        <f>G103*AO103</f>
        <v>0</v>
      </c>
      <c r="AX103" s="62" t="s">
        <v>633</v>
      </c>
      <c r="AY103" s="62" t="s">
        <v>652</v>
      </c>
      <c r="AZ103" s="59" t="s">
        <v>662</v>
      </c>
      <c r="BB103" s="36">
        <f>AV103+AW103</f>
        <v>0</v>
      </c>
      <c r="BC103" s="36">
        <f>H103/(100-BD103)*100</f>
        <v>0</v>
      </c>
      <c r="BD103" s="36">
        <v>0</v>
      </c>
      <c r="BE103" s="36">
        <f>103</f>
        <v>103</v>
      </c>
      <c r="BG103" s="54">
        <f>G103*AN103</f>
        <v>0</v>
      </c>
      <c r="BH103" s="54">
        <f>G103*AO103</f>
        <v>0</v>
      </c>
      <c r="BI103" s="54">
        <f>G103*H103</f>
        <v>0</v>
      </c>
    </row>
    <row r="104" spans="1:61" ht="12.75">
      <c r="A104" s="44" t="s">
        <v>175</v>
      </c>
      <c r="B104" s="44" t="s">
        <v>316</v>
      </c>
      <c r="C104" s="160" t="s">
        <v>495</v>
      </c>
      <c r="D104" s="161"/>
      <c r="E104" s="161"/>
      <c r="F104" s="44" t="s">
        <v>591</v>
      </c>
      <c r="G104" s="54">
        <v>1.3</v>
      </c>
      <c r="H104" s="54">
        <v>0</v>
      </c>
      <c r="I104" s="54">
        <f>G104*AN104</f>
        <v>0</v>
      </c>
      <c r="J104" s="54">
        <f>G104*AO104</f>
        <v>0</v>
      </c>
      <c r="K104" s="54">
        <f>G104*H104</f>
        <v>0</v>
      </c>
      <c r="Y104" s="36">
        <f>IF(AP104="5",BI104,0)</f>
        <v>0</v>
      </c>
      <c r="AA104" s="36">
        <f>IF(AP104="1",BG104,0)</f>
        <v>0</v>
      </c>
      <c r="AB104" s="36">
        <f>IF(AP104="1",BH104,0)</f>
        <v>0</v>
      </c>
      <c r="AC104" s="36">
        <f>IF(AP104="7",BG104,0)</f>
        <v>0</v>
      </c>
      <c r="AD104" s="36">
        <f>IF(AP104="7",BH104,0)</f>
        <v>0</v>
      </c>
      <c r="AE104" s="36">
        <f>IF(AP104="2",BG104,0)</f>
        <v>0</v>
      </c>
      <c r="AF104" s="36">
        <f>IF(AP104="2",BH104,0)</f>
        <v>0</v>
      </c>
      <c r="AG104" s="36">
        <f>IF(AP104="0",BI104,0)</f>
        <v>0</v>
      </c>
      <c r="AH104" s="59" t="s">
        <v>71</v>
      </c>
      <c r="AI104" s="54">
        <f>IF(AM104=0,K104,0)</f>
        <v>0</v>
      </c>
      <c r="AJ104" s="54">
        <f>IF(AM104=15,K104,0)</f>
        <v>0</v>
      </c>
      <c r="AK104" s="54">
        <f>IF(AM104=21,K104,0)</f>
        <v>0</v>
      </c>
      <c r="AM104" s="36">
        <v>21</v>
      </c>
      <c r="AN104" s="36">
        <f>H104*0.0386895674300254</f>
        <v>0</v>
      </c>
      <c r="AO104" s="36">
        <f>H104*(1-0.0386895674300254)</f>
        <v>0</v>
      </c>
      <c r="AP104" s="60" t="s">
        <v>117</v>
      </c>
      <c r="AU104" s="36">
        <f>AV104+AW104</f>
        <v>0</v>
      </c>
      <c r="AV104" s="36">
        <f>G104*AN104</f>
        <v>0</v>
      </c>
      <c r="AW104" s="36">
        <f>G104*AO104</f>
        <v>0</v>
      </c>
      <c r="AX104" s="62" t="s">
        <v>633</v>
      </c>
      <c r="AY104" s="62" t="s">
        <v>652</v>
      </c>
      <c r="AZ104" s="59" t="s">
        <v>662</v>
      </c>
      <c r="BB104" s="36">
        <f>AV104+AW104</f>
        <v>0</v>
      </c>
      <c r="BC104" s="36">
        <f>H104/(100-BD104)*100</f>
        <v>0</v>
      </c>
      <c r="BD104" s="36">
        <v>0</v>
      </c>
      <c r="BE104" s="36">
        <f>104</f>
        <v>104</v>
      </c>
      <c r="BG104" s="54">
        <f>G104*AN104</f>
        <v>0</v>
      </c>
      <c r="BH104" s="54">
        <f>G104*AO104</f>
        <v>0</v>
      </c>
      <c r="BI104" s="54">
        <f>G104*H104</f>
        <v>0</v>
      </c>
    </row>
    <row r="105" spans="1:46" ht="12.75">
      <c r="A105" s="43"/>
      <c r="B105" s="51" t="s">
        <v>203</v>
      </c>
      <c r="C105" s="158" t="s">
        <v>496</v>
      </c>
      <c r="D105" s="159"/>
      <c r="E105" s="159"/>
      <c r="F105" s="43" t="s">
        <v>69</v>
      </c>
      <c r="G105" s="43" t="s">
        <v>69</v>
      </c>
      <c r="H105" s="43" t="s">
        <v>69</v>
      </c>
      <c r="I105" s="64">
        <f>SUM(I106:I108)</f>
        <v>0</v>
      </c>
      <c r="J105" s="64">
        <f>SUM(J106:J108)</f>
        <v>0</v>
      </c>
      <c r="K105" s="64">
        <f>SUM(K106:K108)</f>
        <v>0</v>
      </c>
      <c r="AH105" s="59" t="s">
        <v>71</v>
      </c>
      <c r="AR105" s="64">
        <f>SUM(AI106:AI108)</f>
        <v>0</v>
      </c>
      <c r="AS105" s="64">
        <f>SUM(AJ106:AJ108)</f>
        <v>0</v>
      </c>
      <c r="AT105" s="64">
        <f>SUM(AK106:AK108)</f>
        <v>0</v>
      </c>
    </row>
    <row r="106" spans="1:61" ht="12.75">
      <c r="A106" s="44" t="s">
        <v>176</v>
      </c>
      <c r="B106" s="44" t="s">
        <v>317</v>
      </c>
      <c r="C106" s="160" t="s">
        <v>497</v>
      </c>
      <c r="D106" s="161"/>
      <c r="E106" s="161"/>
      <c r="F106" s="44" t="s">
        <v>595</v>
      </c>
      <c r="G106" s="54">
        <v>78.04</v>
      </c>
      <c r="H106" s="54">
        <v>0</v>
      </c>
      <c r="I106" s="54">
        <f>G106*AN106</f>
        <v>0</v>
      </c>
      <c r="J106" s="54">
        <f>G106*AO106</f>
        <v>0</v>
      </c>
      <c r="K106" s="54">
        <f>G106*H106</f>
        <v>0</v>
      </c>
      <c r="Y106" s="36">
        <f>IF(AP106="5",BI106,0)</f>
        <v>0</v>
      </c>
      <c r="AA106" s="36">
        <f>IF(AP106="1",BG106,0)</f>
        <v>0</v>
      </c>
      <c r="AB106" s="36">
        <f>IF(AP106="1",BH106,0)</f>
        <v>0</v>
      </c>
      <c r="AC106" s="36">
        <f>IF(AP106="7",BG106,0)</f>
        <v>0</v>
      </c>
      <c r="AD106" s="36">
        <f>IF(AP106="7",BH106,0)</f>
        <v>0</v>
      </c>
      <c r="AE106" s="36">
        <f>IF(AP106="2",BG106,0)</f>
        <v>0</v>
      </c>
      <c r="AF106" s="36">
        <f>IF(AP106="2",BH106,0)</f>
        <v>0</v>
      </c>
      <c r="AG106" s="36">
        <f>IF(AP106="0",BI106,0)</f>
        <v>0</v>
      </c>
      <c r="AH106" s="59" t="s">
        <v>71</v>
      </c>
      <c r="AI106" s="54">
        <f>IF(AM106=0,K106,0)</f>
        <v>0</v>
      </c>
      <c r="AJ106" s="54">
        <f>IF(AM106=15,K106,0)</f>
        <v>0</v>
      </c>
      <c r="AK106" s="54">
        <f>IF(AM106=21,K106,0)</f>
        <v>0</v>
      </c>
      <c r="AM106" s="36">
        <v>21</v>
      </c>
      <c r="AN106" s="36">
        <f>H106*0</f>
        <v>0</v>
      </c>
      <c r="AO106" s="36">
        <f>H106*(1-0)</f>
        <v>0</v>
      </c>
      <c r="AP106" s="60" t="s">
        <v>117</v>
      </c>
      <c r="AU106" s="36">
        <f>AV106+AW106</f>
        <v>0</v>
      </c>
      <c r="AV106" s="36">
        <f>G106*AN106</f>
        <v>0</v>
      </c>
      <c r="AW106" s="36">
        <f>G106*AO106</f>
        <v>0</v>
      </c>
      <c r="AX106" s="62" t="s">
        <v>634</v>
      </c>
      <c r="AY106" s="62" t="s">
        <v>652</v>
      </c>
      <c r="AZ106" s="59" t="s">
        <v>662</v>
      </c>
      <c r="BB106" s="36">
        <f>AV106+AW106</f>
        <v>0</v>
      </c>
      <c r="BC106" s="36">
        <f>H106/(100-BD106)*100</f>
        <v>0</v>
      </c>
      <c r="BD106" s="36">
        <v>0</v>
      </c>
      <c r="BE106" s="36">
        <f>106</f>
        <v>106</v>
      </c>
      <c r="BG106" s="54">
        <f>G106*AN106</f>
        <v>0</v>
      </c>
      <c r="BH106" s="54">
        <f>G106*AO106</f>
        <v>0</v>
      </c>
      <c r="BI106" s="54">
        <f>G106*H106</f>
        <v>0</v>
      </c>
    </row>
    <row r="107" spans="1:61" ht="12.75">
      <c r="A107" s="44" t="s">
        <v>177</v>
      </c>
      <c r="B107" s="44" t="s">
        <v>318</v>
      </c>
      <c r="C107" s="160" t="s">
        <v>498</v>
      </c>
      <c r="D107" s="161"/>
      <c r="E107" s="161"/>
      <c r="F107" s="44" t="s">
        <v>593</v>
      </c>
      <c r="G107" s="54">
        <v>3</v>
      </c>
      <c r="H107" s="54">
        <v>0</v>
      </c>
      <c r="I107" s="54">
        <f>G107*AN107</f>
        <v>0</v>
      </c>
      <c r="J107" s="54">
        <f>G107*AO107</f>
        <v>0</v>
      </c>
      <c r="K107" s="54">
        <f>G107*H107</f>
        <v>0</v>
      </c>
      <c r="Y107" s="36">
        <f>IF(AP107="5",BI107,0)</f>
        <v>0</v>
      </c>
      <c r="AA107" s="36">
        <f>IF(AP107="1",BG107,0)</f>
        <v>0</v>
      </c>
      <c r="AB107" s="36">
        <f>IF(AP107="1",BH107,0)</f>
        <v>0</v>
      </c>
      <c r="AC107" s="36">
        <f>IF(AP107="7",BG107,0)</f>
        <v>0</v>
      </c>
      <c r="AD107" s="36">
        <f>IF(AP107="7",BH107,0)</f>
        <v>0</v>
      </c>
      <c r="AE107" s="36">
        <f>IF(AP107="2",BG107,0)</f>
        <v>0</v>
      </c>
      <c r="AF107" s="36">
        <f>IF(AP107="2",BH107,0)</f>
        <v>0</v>
      </c>
      <c r="AG107" s="36">
        <f>IF(AP107="0",BI107,0)</f>
        <v>0</v>
      </c>
      <c r="AH107" s="59" t="s">
        <v>71</v>
      </c>
      <c r="AI107" s="54">
        <f>IF(AM107=0,K107,0)</f>
        <v>0</v>
      </c>
      <c r="AJ107" s="54">
        <f>IF(AM107=15,K107,0)</f>
        <v>0</v>
      </c>
      <c r="AK107" s="54">
        <f>IF(AM107=21,K107,0)</f>
        <v>0</v>
      </c>
      <c r="AM107" s="36">
        <v>21</v>
      </c>
      <c r="AN107" s="36">
        <f>H107*0</f>
        <v>0</v>
      </c>
      <c r="AO107" s="36">
        <f>H107*(1-0)</f>
        <v>0</v>
      </c>
      <c r="AP107" s="60" t="s">
        <v>117</v>
      </c>
      <c r="AU107" s="36">
        <f>AV107+AW107</f>
        <v>0</v>
      </c>
      <c r="AV107" s="36">
        <f>G107*AN107</f>
        <v>0</v>
      </c>
      <c r="AW107" s="36">
        <f>G107*AO107</f>
        <v>0</v>
      </c>
      <c r="AX107" s="62" t="s">
        <v>634</v>
      </c>
      <c r="AY107" s="62" t="s">
        <v>652</v>
      </c>
      <c r="AZ107" s="59" t="s">
        <v>662</v>
      </c>
      <c r="BB107" s="36">
        <f>AV107+AW107</f>
        <v>0</v>
      </c>
      <c r="BC107" s="36">
        <f>H107/(100-BD107)*100</f>
        <v>0</v>
      </c>
      <c r="BD107" s="36">
        <v>0</v>
      </c>
      <c r="BE107" s="36">
        <f>107</f>
        <v>107</v>
      </c>
      <c r="BG107" s="54">
        <f>G107*AN107</f>
        <v>0</v>
      </c>
      <c r="BH107" s="54">
        <f>G107*AO107</f>
        <v>0</v>
      </c>
      <c r="BI107" s="54">
        <f>G107*H107</f>
        <v>0</v>
      </c>
    </row>
    <row r="108" spans="1:61" ht="12.75">
      <c r="A108" s="44" t="s">
        <v>178</v>
      </c>
      <c r="B108" s="44" t="s">
        <v>319</v>
      </c>
      <c r="C108" s="160" t="s">
        <v>499</v>
      </c>
      <c r="D108" s="161"/>
      <c r="E108" s="161"/>
      <c r="F108" s="44" t="s">
        <v>593</v>
      </c>
      <c r="G108" s="54">
        <v>18</v>
      </c>
      <c r="H108" s="54">
        <v>0</v>
      </c>
      <c r="I108" s="54">
        <f>G108*AN108</f>
        <v>0</v>
      </c>
      <c r="J108" s="54">
        <f>G108*AO108</f>
        <v>0</v>
      </c>
      <c r="K108" s="54">
        <f>G108*H108</f>
        <v>0</v>
      </c>
      <c r="Y108" s="36">
        <f>IF(AP108="5",BI108,0)</f>
        <v>0</v>
      </c>
      <c r="AA108" s="36">
        <f>IF(AP108="1",BG108,0)</f>
        <v>0</v>
      </c>
      <c r="AB108" s="36">
        <f>IF(AP108="1",BH108,0)</f>
        <v>0</v>
      </c>
      <c r="AC108" s="36">
        <f>IF(AP108="7",BG108,0)</f>
        <v>0</v>
      </c>
      <c r="AD108" s="36">
        <f>IF(AP108="7",BH108,0)</f>
        <v>0</v>
      </c>
      <c r="AE108" s="36">
        <f>IF(AP108="2",BG108,0)</f>
        <v>0</v>
      </c>
      <c r="AF108" s="36">
        <f>IF(AP108="2",BH108,0)</f>
        <v>0</v>
      </c>
      <c r="AG108" s="36">
        <f>IF(AP108="0",BI108,0)</f>
        <v>0</v>
      </c>
      <c r="AH108" s="59" t="s">
        <v>71</v>
      </c>
      <c r="AI108" s="54">
        <f>IF(AM108=0,K108,0)</f>
        <v>0</v>
      </c>
      <c r="AJ108" s="54">
        <f>IF(AM108=15,K108,0)</f>
        <v>0</v>
      </c>
      <c r="AK108" s="54">
        <f>IF(AM108=21,K108,0)</f>
        <v>0</v>
      </c>
      <c r="AM108" s="36">
        <v>21</v>
      </c>
      <c r="AN108" s="36">
        <f>H108*0.0747556066705003</f>
        <v>0</v>
      </c>
      <c r="AO108" s="36">
        <f>H108*(1-0.0747556066705003)</f>
        <v>0</v>
      </c>
      <c r="AP108" s="60" t="s">
        <v>117</v>
      </c>
      <c r="AU108" s="36">
        <f>AV108+AW108</f>
        <v>0</v>
      </c>
      <c r="AV108" s="36">
        <f>G108*AN108</f>
        <v>0</v>
      </c>
      <c r="AW108" s="36">
        <f>G108*AO108</f>
        <v>0</v>
      </c>
      <c r="AX108" s="62" t="s">
        <v>634</v>
      </c>
      <c r="AY108" s="62" t="s">
        <v>652</v>
      </c>
      <c r="AZ108" s="59" t="s">
        <v>662</v>
      </c>
      <c r="BB108" s="36">
        <f>AV108+AW108</f>
        <v>0</v>
      </c>
      <c r="BC108" s="36">
        <f>H108/(100-BD108)*100</f>
        <v>0</v>
      </c>
      <c r="BD108" s="36">
        <v>0</v>
      </c>
      <c r="BE108" s="36">
        <f>108</f>
        <v>108</v>
      </c>
      <c r="BG108" s="54">
        <f>G108*AN108</f>
        <v>0</v>
      </c>
      <c r="BH108" s="54">
        <f>G108*AO108</f>
        <v>0</v>
      </c>
      <c r="BI108" s="54">
        <f>G108*H108</f>
        <v>0</v>
      </c>
    </row>
    <row r="109" spans="1:46" ht="12.75">
      <c r="A109" s="43"/>
      <c r="B109" s="51" t="s">
        <v>320</v>
      </c>
      <c r="C109" s="158" t="s">
        <v>500</v>
      </c>
      <c r="D109" s="159"/>
      <c r="E109" s="159"/>
      <c r="F109" s="43" t="s">
        <v>69</v>
      </c>
      <c r="G109" s="43" t="s">
        <v>69</v>
      </c>
      <c r="H109" s="43" t="s">
        <v>69</v>
      </c>
      <c r="I109" s="64">
        <f>SUM(I110:I112)</f>
        <v>0</v>
      </c>
      <c r="J109" s="64">
        <f>SUM(J110:J112)</f>
        <v>0</v>
      </c>
      <c r="K109" s="64">
        <f>SUM(K110:K112)</f>
        <v>0</v>
      </c>
      <c r="AH109" s="59" t="s">
        <v>71</v>
      </c>
      <c r="AR109" s="64">
        <f>SUM(AI110:AI112)</f>
        <v>0</v>
      </c>
      <c r="AS109" s="64">
        <f>SUM(AJ110:AJ112)</f>
        <v>0</v>
      </c>
      <c r="AT109" s="64">
        <f>SUM(AK110:AK112)</f>
        <v>0</v>
      </c>
    </row>
    <row r="110" spans="1:61" ht="12.75">
      <c r="A110" s="44" t="s">
        <v>179</v>
      </c>
      <c r="B110" s="44" t="s">
        <v>321</v>
      </c>
      <c r="C110" s="160" t="s">
        <v>501</v>
      </c>
      <c r="D110" s="161"/>
      <c r="E110" s="161"/>
      <c r="F110" s="44" t="s">
        <v>592</v>
      </c>
      <c r="G110" s="54">
        <v>28.63</v>
      </c>
      <c r="H110" s="54">
        <v>0</v>
      </c>
      <c r="I110" s="54">
        <f>G110*AN110</f>
        <v>0</v>
      </c>
      <c r="J110" s="54">
        <f>G110*AO110</f>
        <v>0</v>
      </c>
      <c r="K110" s="54">
        <f>G110*H110</f>
        <v>0</v>
      </c>
      <c r="Y110" s="36">
        <f>IF(AP110="5",BI110,0)</f>
        <v>0</v>
      </c>
      <c r="AA110" s="36">
        <f>IF(AP110="1",BG110,0)</f>
        <v>0</v>
      </c>
      <c r="AB110" s="36">
        <f>IF(AP110="1",BH110,0)</f>
        <v>0</v>
      </c>
      <c r="AC110" s="36">
        <f>IF(AP110="7",BG110,0)</f>
        <v>0</v>
      </c>
      <c r="AD110" s="36">
        <f>IF(AP110="7",BH110,0)</f>
        <v>0</v>
      </c>
      <c r="AE110" s="36">
        <f>IF(AP110="2",BG110,0)</f>
        <v>0</v>
      </c>
      <c r="AF110" s="36">
        <f>IF(AP110="2",BH110,0)</f>
        <v>0</v>
      </c>
      <c r="AG110" s="36">
        <f>IF(AP110="0",BI110,0)</f>
        <v>0</v>
      </c>
      <c r="AH110" s="59" t="s">
        <v>71</v>
      </c>
      <c r="AI110" s="54">
        <f>IF(AM110=0,K110,0)</f>
        <v>0</v>
      </c>
      <c r="AJ110" s="54">
        <f>IF(AM110=15,K110,0)</f>
        <v>0</v>
      </c>
      <c r="AK110" s="54">
        <f>IF(AM110=21,K110,0)</f>
        <v>0</v>
      </c>
      <c r="AM110" s="36">
        <v>21</v>
      </c>
      <c r="AN110" s="36">
        <f>H110*0</f>
        <v>0</v>
      </c>
      <c r="AO110" s="36">
        <f>H110*(1-0)</f>
        <v>0</v>
      </c>
      <c r="AP110" s="60" t="s">
        <v>120</v>
      </c>
      <c r="AU110" s="36">
        <f>AV110+AW110</f>
        <v>0</v>
      </c>
      <c r="AV110" s="36">
        <f>G110*AN110</f>
        <v>0</v>
      </c>
      <c r="AW110" s="36">
        <f>G110*AO110</f>
        <v>0</v>
      </c>
      <c r="AX110" s="62" t="s">
        <v>635</v>
      </c>
      <c r="AY110" s="62" t="s">
        <v>652</v>
      </c>
      <c r="AZ110" s="59" t="s">
        <v>662</v>
      </c>
      <c r="BB110" s="36">
        <f>AV110+AW110</f>
        <v>0</v>
      </c>
      <c r="BC110" s="36">
        <f>H110/(100-BD110)*100</f>
        <v>0</v>
      </c>
      <c r="BD110" s="36">
        <v>0</v>
      </c>
      <c r="BE110" s="36">
        <f>110</f>
        <v>110</v>
      </c>
      <c r="BG110" s="54">
        <f>G110*AN110</f>
        <v>0</v>
      </c>
      <c r="BH110" s="54">
        <f>G110*AO110</f>
        <v>0</v>
      </c>
      <c r="BI110" s="54">
        <f>G110*H110</f>
        <v>0</v>
      </c>
    </row>
    <row r="111" spans="1:61" ht="12.75">
      <c r="A111" s="44" t="s">
        <v>180</v>
      </c>
      <c r="B111" s="44" t="s">
        <v>322</v>
      </c>
      <c r="C111" s="160" t="s">
        <v>502</v>
      </c>
      <c r="D111" s="161"/>
      <c r="E111" s="161"/>
      <c r="F111" s="44" t="s">
        <v>592</v>
      </c>
      <c r="G111" s="54">
        <v>28.63</v>
      </c>
      <c r="H111" s="54">
        <v>0</v>
      </c>
      <c r="I111" s="54">
        <f>G111*AN111</f>
        <v>0</v>
      </c>
      <c r="J111" s="54">
        <f>G111*AO111</f>
        <v>0</v>
      </c>
      <c r="K111" s="54">
        <f>G111*H111</f>
        <v>0</v>
      </c>
      <c r="Y111" s="36">
        <f>IF(AP111="5",BI111,0)</f>
        <v>0</v>
      </c>
      <c r="AA111" s="36">
        <f>IF(AP111="1",BG111,0)</f>
        <v>0</v>
      </c>
      <c r="AB111" s="36">
        <f>IF(AP111="1",BH111,0)</f>
        <v>0</v>
      </c>
      <c r="AC111" s="36">
        <f>IF(AP111="7",BG111,0)</f>
        <v>0</v>
      </c>
      <c r="AD111" s="36">
        <f>IF(AP111="7",BH111,0)</f>
        <v>0</v>
      </c>
      <c r="AE111" s="36">
        <f>IF(AP111="2",BG111,0)</f>
        <v>0</v>
      </c>
      <c r="AF111" s="36">
        <f>IF(AP111="2",BH111,0)</f>
        <v>0</v>
      </c>
      <c r="AG111" s="36">
        <f>IF(AP111="0",BI111,0)</f>
        <v>0</v>
      </c>
      <c r="AH111" s="59" t="s">
        <v>71</v>
      </c>
      <c r="AI111" s="54">
        <f>IF(AM111=0,K111,0)</f>
        <v>0</v>
      </c>
      <c r="AJ111" s="54">
        <f>IF(AM111=15,K111,0)</f>
        <v>0</v>
      </c>
      <c r="AK111" s="54">
        <f>IF(AM111=21,K111,0)</f>
        <v>0</v>
      </c>
      <c r="AM111" s="36">
        <v>21</v>
      </c>
      <c r="AN111" s="36">
        <f>H111*0</f>
        <v>0</v>
      </c>
      <c r="AO111" s="36">
        <f>H111*(1-0)</f>
        <v>0</v>
      </c>
      <c r="AP111" s="60" t="s">
        <v>120</v>
      </c>
      <c r="AU111" s="36">
        <f>AV111+AW111</f>
        <v>0</v>
      </c>
      <c r="AV111" s="36">
        <f>G111*AN111</f>
        <v>0</v>
      </c>
      <c r="AW111" s="36">
        <f>G111*AO111</f>
        <v>0</v>
      </c>
      <c r="AX111" s="62" t="s">
        <v>635</v>
      </c>
      <c r="AY111" s="62" t="s">
        <v>652</v>
      </c>
      <c r="AZ111" s="59" t="s">
        <v>662</v>
      </c>
      <c r="BB111" s="36">
        <f>AV111+AW111</f>
        <v>0</v>
      </c>
      <c r="BC111" s="36">
        <f>H111/(100-BD111)*100</f>
        <v>0</v>
      </c>
      <c r="BD111" s="36">
        <v>0</v>
      </c>
      <c r="BE111" s="36">
        <f>111</f>
        <v>111</v>
      </c>
      <c r="BG111" s="54">
        <f>G111*AN111</f>
        <v>0</v>
      </c>
      <c r="BH111" s="54">
        <f>G111*AO111</f>
        <v>0</v>
      </c>
      <c r="BI111" s="54">
        <f>G111*H111</f>
        <v>0</v>
      </c>
    </row>
    <row r="112" spans="1:61" ht="12.75">
      <c r="A112" s="44" t="s">
        <v>181</v>
      </c>
      <c r="B112" s="44" t="s">
        <v>323</v>
      </c>
      <c r="C112" s="160" t="s">
        <v>503</v>
      </c>
      <c r="D112" s="161"/>
      <c r="E112" s="161"/>
      <c r="F112" s="44" t="s">
        <v>592</v>
      </c>
      <c r="G112" s="54">
        <v>28.63</v>
      </c>
      <c r="H112" s="54">
        <v>0</v>
      </c>
      <c r="I112" s="54">
        <f>G112*AN112</f>
        <v>0</v>
      </c>
      <c r="J112" s="54">
        <f>G112*AO112</f>
        <v>0</v>
      </c>
      <c r="K112" s="54">
        <f>G112*H112</f>
        <v>0</v>
      </c>
      <c r="Y112" s="36">
        <f>IF(AP112="5",BI112,0)</f>
        <v>0</v>
      </c>
      <c r="AA112" s="36">
        <f>IF(AP112="1",BG112,0)</f>
        <v>0</v>
      </c>
      <c r="AB112" s="36">
        <f>IF(AP112="1",BH112,0)</f>
        <v>0</v>
      </c>
      <c r="AC112" s="36">
        <f>IF(AP112="7",BG112,0)</f>
        <v>0</v>
      </c>
      <c r="AD112" s="36">
        <f>IF(AP112="7",BH112,0)</f>
        <v>0</v>
      </c>
      <c r="AE112" s="36">
        <f>IF(AP112="2",BG112,0)</f>
        <v>0</v>
      </c>
      <c r="AF112" s="36">
        <f>IF(AP112="2",BH112,0)</f>
        <v>0</v>
      </c>
      <c r="AG112" s="36">
        <f>IF(AP112="0",BI112,0)</f>
        <v>0</v>
      </c>
      <c r="AH112" s="59" t="s">
        <v>71</v>
      </c>
      <c r="AI112" s="54">
        <f>IF(AM112=0,K112,0)</f>
        <v>0</v>
      </c>
      <c r="AJ112" s="54">
        <f>IF(AM112=15,K112,0)</f>
        <v>0</v>
      </c>
      <c r="AK112" s="54">
        <f>IF(AM112=21,K112,0)</f>
        <v>0</v>
      </c>
      <c r="AM112" s="36">
        <v>21</v>
      </c>
      <c r="AN112" s="36">
        <f>H112*0</f>
        <v>0</v>
      </c>
      <c r="AO112" s="36">
        <f>H112*(1-0)</f>
        <v>0</v>
      </c>
      <c r="AP112" s="60" t="s">
        <v>120</v>
      </c>
      <c r="AU112" s="36">
        <f>AV112+AW112</f>
        <v>0</v>
      </c>
      <c r="AV112" s="36">
        <f>G112*AN112</f>
        <v>0</v>
      </c>
      <c r="AW112" s="36">
        <f>G112*AO112</f>
        <v>0</v>
      </c>
      <c r="AX112" s="62" t="s">
        <v>635</v>
      </c>
      <c r="AY112" s="62" t="s">
        <v>652</v>
      </c>
      <c r="AZ112" s="59" t="s">
        <v>662</v>
      </c>
      <c r="BB112" s="36">
        <f>AV112+AW112</f>
        <v>0</v>
      </c>
      <c r="BC112" s="36">
        <f>H112/(100-BD112)*100</f>
        <v>0</v>
      </c>
      <c r="BD112" s="36">
        <v>0</v>
      </c>
      <c r="BE112" s="36">
        <f>112</f>
        <v>112</v>
      </c>
      <c r="BG112" s="54">
        <f>G112*AN112</f>
        <v>0</v>
      </c>
      <c r="BH112" s="54">
        <f>G112*AO112</f>
        <v>0</v>
      </c>
      <c r="BI112" s="54">
        <f>G112*H112</f>
        <v>0</v>
      </c>
    </row>
    <row r="113" spans="1:46" ht="12.75">
      <c r="A113" s="43"/>
      <c r="B113" s="51" t="s">
        <v>324</v>
      </c>
      <c r="C113" s="158" t="s">
        <v>504</v>
      </c>
      <c r="D113" s="159"/>
      <c r="E113" s="159"/>
      <c r="F113" s="43" t="s">
        <v>69</v>
      </c>
      <c r="G113" s="43" t="s">
        <v>69</v>
      </c>
      <c r="H113" s="43" t="s">
        <v>69</v>
      </c>
      <c r="I113" s="64">
        <f>SUM(I114:I115)</f>
        <v>0</v>
      </c>
      <c r="J113" s="64">
        <f>SUM(J114:J115)</f>
        <v>0</v>
      </c>
      <c r="K113" s="64">
        <f>SUM(K114:K115)</f>
        <v>0</v>
      </c>
      <c r="AH113" s="59" t="s">
        <v>71</v>
      </c>
      <c r="AR113" s="64">
        <f>SUM(AI114:AI115)</f>
        <v>0</v>
      </c>
      <c r="AS113" s="64">
        <f>SUM(AJ114:AJ115)</f>
        <v>0</v>
      </c>
      <c r="AT113" s="64">
        <f>SUM(AK114:AK115)</f>
        <v>0</v>
      </c>
    </row>
    <row r="114" spans="1:61" ht="12.75">
      <c r="A114" s="44" t="s">
        <v>182</v>
      </c>
      <c r="B114" s="44" t="s">
        <v>325</v>
      </c>
      <c r="C114" s="160" t="s">
        <v>505</v>
      </c>
      <c r="D114" s="161"/>
      <c r="E114" s="161"/>
      <c r="F114" s="44" t="s">
        <v>592</v>
      </c>
      <c r="G114" s="54">
        <v>28.63</v>
      </c>
      <c r="H114" s="54">
        <v>0</v>
      </c>
      <c r="I114" s="54">
        <f>G114*AN114</f>
        <v>0</v>
      </c>
      <c r="J114" s="54">
        <f>G114*AO114</f>
        <v>0</v>
      </c>
      <c r="K114" s="54">
        <f>G114*H114</f>
        <v>0</v>
      </c>
      <c r="Y114" s="36">
        <f>IF(AP114="5",BI114,0)</f>
        <v>0</v>
      </c>
      <c r="AA114" s="36">
        <f>IF(AP114="1",BG114,0)</f>
        <v>0</v>
      </c>
      <c r="AB114" s="36">
        <f>IF(AP114="1",BH114,0)</f>
        <v>0</v>
      </c>
      <c r="AC114" s="36">
        <f>IF(AP114="7",BG114,0)</f>
        <v>0</v>
      </c>
      <c r="AD114" s="36">
        <f>IF(AP114="7",BH114,0)</f>
        <v>0</v>
      </c>
      <c r="AE114" s="36">
        <f>IF(AP114="2",BG114,0)</f>
        <v>0</v>
      </c>
      <c r="AF114" s="36">
        <f>IF(AP114="2",BH114,0)</f>
        <v>0</v>
      </c>
      <c r="AG114" s="36">
        <f>IF(AP114="0",BI114,0)</f>
        <v>0</v>
      </c>
      <c r="AH114" s="59" t="s">
        <v>71</v>
      </c>
      <c r="AI114" s="54">
        <f>IF(AM114=0,K114,0)</f>
        <v>0</v>
      </c>
      <c r="AJ114" s="54">
        <f>IF(AM114=15,K114,0)</f>
        <v>0</v>
      </c>
      <c r="AK114" s="54">
        <f>IF(AM114=21,K114,0)</f>
        <v>0</v>
      </c>
      <c r="AM114" s="36">
        <v>21</v>
      </c>
      <c r="AN114" s="36">
        <f>H114*0</f>
        <v>0</v>
      </c>
      <c r="AO114" s="36">
        <f>H114*(1-0)</f>
        <v>0</v>
      </c>
      <c r="AP114" s="60" t="s">
        <v>120</v>
      </c>
      <c r="AU114" s="36">
        <f>AV114+AW114</f>
        <v>0</v>
      </c>
      <c r="AV114" s="36">
        <f>G114*AN114</f>
        <v>0</v>
      </c>
      <c r="AW114" s="36">
        <f>G114*AO114</f>
        <v>0</v>
      </c>
      <c r="AX114" s="62" t="s">
        <v>636</v>
      </c>
      <c r="AY114" s="62" t="s">
        <v>652</v>
      </c>
      <c r="AZ114" s="59" t="s">
        <v>662</v>
      </c>
      <c r="BB114" s="36">
        <f>AV114+AW114</f>
        <v>0</v>
      </c>
      <c r="BC114" s="36">
        <f>H114/(100-BD114)*100</f>
        <v>0</v>
      </c>
      <c r="BD114" s="36">
        <v>0</v>
      </c>
      <c r="BE114" s="36">
        <f>114</f>
        <v>114</v>
      </c>
      <c r="BG114" s="54">
        <f>G114*AN114</f>
        <v>0</v>
      </c>
      <c r="BH114" s="54">
        <f>G114*AO114</f>
        <v>0</v>
      </c>
      <c r="BI114" s="54">
        <f>G114*H114</f>
        <v>0</v>
      </c>
    </row>
    <row r="115" spans="1:61" ht="12.75">
      <c r="A115" s="44" t="s">
        <v>96</v>
      </c>
      <c r="B115" s="44" t="s">
        <v>326</v>
      </c>
      <c r="C115" s="160" t="s">
        <v>506</v>
      </c>
      <c r="D115" s="161"/>
      <c r="E115" s="161"/>
      <c r="F115" s="44" t="s">
        <v>592</v>
      </c>
      <c r="G115" s="54">
        <v>28.63</v>
      </c>
      <c r="H115" s="54">
        <v>0</v>
      </c>
      <c r="I115" s="54">
        <f>G115*AN115</f>
        <v>0</v>
      </c>
      <c r="J115" s="54">
        <f>G115*AO115</f>
        <v>0</v>
      </c>
      <c r="K115" s="54">
        <f>G115*H115</f>
        <v>0</v>
      </c>
      <c r="Y115" s="36">
        <f>IF(AP115="5",BI115,0)</f>
        <v>0</v>
      </c>
      <c r="AA115" s="36">
        <f>IF(AP115="1",BG115,0)</f>
        <v>0</v>
      </c>
      <c r="AB115" s="36">
        <f>IF(AP115="1",BH115,0)</f>
        <v>0</v>
      </c>
      <c r="AC115" s="36">
        <f>IF(AP115="7",BG115,0)</f>
        <v>0</v>
      </c>
      <c r="AD115" s="36">
        <f>IF(AP115="7",BH115,0)</f>
        <v>0</v>
      </c>
      <c r="AE115" s="36">
        <f>IF(AP115="2",BG115,0)</f>
        <v>0</v>
      </c>
      <c r="AF115" s="36">
        <f>IF(AP115="2",BH115,0)</f>
        <v>0</v>
      </c>
      <c r="AG115" s="36">
        <f>IF(AP115="0",BI115,0)</f>
        <v>0</v>
      </c>
      <c r="AH115" s="59" t="s">
        <v>71</v>
      </c>
      <c r="AI115" s="54">
        <f>IF(AM115=0,K115,0)</f>
        <v>0</v>
      </c>
      <c r="AJ115" s="54">
        <f>IF(AM115=15,K115,0)</f>
        <v>0</v>
      </c>
      <c r="AK115" s="54">
        <f>IF(AM115=21,K115,0)</f>
        <v>0</v>
      </c>
      <c r="AM115" s="36">
        <v>21</v>
      </c>
      <c r="AN115" s="36">
        <f>H115*0</f>
        <v>0</v>
      </c>
      <c r="AO115" s="36">
        <f>H115*(1-0)</f>
        <v>0</v>
      </c>
      <c r="AP115" s="60" t="s">
        <v>120</v>
      </c>
      <c r="AU115" s="36">
        <f>AV115+AW115</f>
        <v>0</v>
      </c>
      <c r="AV115" s="36">
        <f>G115*AN115</f>
        <v>0</v>
      </c>
      <c r="AW115" s="36">
        <f>G115*AO115</f>
        <v>0</v>
      </c>
      <c r="AX115" s="62" t="s">
        <v>636</v>
      </c>
      <c r="AY115" s="62" t="s">
        <v>652</v>
      </c>
      <c r="AZ115" s="59" t="s">
        <v>662</v>
      </c>
      <c r="BB115" s="36">
        <f>AV115+AW115</f>
        <v>0</v>
      </c>
      <c r="BC115" s="36">
        <f>H115/(100-BD115)*100</f>
        <v>0</v>
      </c>
      <c r="BD115" s="36">
        <v>0</v>
      </c>
      <c r="BE115" s="36">
        <f>115</f>
        <v>115</v>
      </c>
      <c r="BG115" s="54">
        <f>G115*AN115</f>
        <v>0</v>
      </c>
      <c r="BH115" s="54">
        <f>G115*AO115</f>
        <v>0</v>
      </c>
      <c r="BI115" s="54">
        <f>G115*H115</f>
        <v>0</v>
      </c>
    </row>
    <row r="116" spans="1:46" ht="12.75">
      <c r="A116" s="43"/>
      <c r="B116" s="51"/>
      <c r="C116" s="158" t="s">
        <v>10</v>
      </c>
      <c r="D116" s="159"/>
      <c r="E116" s="159"/>
      <c r="F116" s="43" t="s">
        <v>69</v>
      </c>
      <c r="G116" s="43" t="s">
        <v>69</v>
      </c>
      <c r="H116" s="43" t="s">
        <v>69</v>
      </c>
      <c r="I116" s="64">
        <f>SUM(I117:I118)</f>
        <v>0</v>
      </c>
      <c r="J116" s="64">
        <f>SUM(J117:J118)</f>
        <v>0</v>
      </c>
      <c r="K116" s="64">
        <f>SUM(K117:K118)</f>
        <v>0</v>
      </c>
      <c r="AH116" s="59" t="s">
        <v>71</v>
      </c>
      <c r="AR116" s="64">
        <f>SUM(AI117:AI118)</f>
        <v>0</v>
      </c>
      <c r="AS116" s="64">
        <f>SUM(AJ117:AJ118)</f>
        <v>0</v>
      </c>
      <c r="AT116" s="64">
        <f>SUM(AK117:AK118)</f>
        <v>0</v>
      </c>
    </row>
    <row r="117" spans="1:61" ht="12.75">
      <c r="A117" s="45" t="s">
        <v>101</v>
      </c>
      <c r="B117" s="45" t="s">
        <v>327</v>
      </c>
      <c r="C117" s="162" t="s">
        <v>507</v>
      </c>
      <c r="D117" s="163"/>
      <c r="E117" s="163"/>
      <c r="F117" s="45" t="s">
        <v>594</v>
      </c>
      <c r="G117" s="55">
        <v>3</v>
      </c>
      <c r="H117" s="55">
        <v>0</v>
      </c>
      <c r="I117" s="55">
        <f>G117*AN117</f>
        <v>0</v>
      </c>
      <c r="J117" s="55">
        <f>G117*AO117</f>
        <v>0</v>
      </c>
      <c r="K117" s="55">
        <f>G117*H117</f>
        <v>0</v>
      </c>
      <c r="Y117" s="36">
        <f>IF(AP117="5",BI117,0)</f>
        <v>0</v>
      </c>
      <c r="AA117" s="36">
        <f>IF(AP117="1",BG117,0)</f>
        <v>0</v>
      </c>
      <c r="AB117" s="36">
        <f>IF(AP117="1",BH117,0)</f>
        <v>0</v>
      </c>
      <c r="AC117" s="36">
        <f>IF(AP117="7",BG117,0)</f>
        <v>0</v>
      </c>
      <c r="AD117" s="36">
        <f>IF(AP117="7",BH117,0)</f>
        <v>0</v>
      </c>
      <c r="AE117" s="36">
        <f>IF(AP117="2",BG117,0)</f>
        <v>0</v>
      </c>
      <c r="AF117" s="36">
        <f>IF(AP117="2",BH117,0)</f>
        <v>0</v>
      </c>
      <c r="AG117" s="36">
        <f>IF(AP117="0",BI117,0)</f>
        <v>0</v>
      </c>
      <c r="AH117" s="59" t="s">
        <v>71</v>
      </c>
      <c r="AI117" s="55">
        <f>IF(AM117=0,K117,0)</f>
        <v>0</v>
      </c>
      <c r="AJ117" s="55">
        <f>IF(AM117=15,K117,0)</f>
        <v>0</v>
      </c>
      <c r="AK117" s="55">
        <f>IF(AM117=21,K117,0)</f>
        <v>0</v>
      </c>
      <c r="AM117" s="36">
        <v>21</v>
      </c>
      <c r="AN117" s="36">
        <f>H117*1</f>
        <v>0</v>
      </c>
      <c r="AO117" s="36">
        <f>H117*(1-1)</f>
        <v>0</v>
      </c>
      <c r="AP117" s="61" t="s">
        <v>616</v>
      </c>
      <c r="AU117" s="36">
        <f>AV117+AW117</f>
        <v>0</v>
      </c>
      <c r="AV117" s="36">
        <f>G117*AN117</f>
        <v>0</v>
      </c>
      <c r="AW117" s="36">
        <f>G117*AO117</f>
        <v>0</v>
      </c>
      <c r="AX117" s="62" t="s">
        <v>637</v>
      </c>
      <c r="AY117" s="62" t="s">
        <v>653</v>
      </c>
      <c r="AZ117" s="59" t="s">
        <v>662</v>
      </c>
      <c r="BB117" s="36">
        <f>AV117+AW117</f>
        <v>0</v>
      </c>
      <c r="BC117" s="36">
        <f>H117/(100-BD117)*100</f>
        <v>0</v>
      </c>
      <c r="BD117" s="36">
        <v>0</v>
      </c>
      <c r="BE117" s="36">
        <f>117</f>
        <v>117</v>
      </c>
      <c r="BG117" s="55">
        <f>G117*AN117</f>
        <v>0</v>
      </c>
      <c r="BH117" s="55">
        <f>G117*AO117</f>
        <v>0</v>
      </c>
      <c r="BI117" s="55">
        <f>G117*H117</f>
        <v>0</v>
      </c>
    </row>
    <row r="118" spans="1:61" ht="12.75">
      <c r="A118" s="45" t="s">
        <v>103</v>
      </c>
      <c r="B118" s="45" t="s">
        <v>328</v>
      </c>
      <c r="C118" s="162" t="s">
        <v>508</v>
      </c>
      <c r="D118" s="163"/>
      <c r="E118" s="163"/>
      <c r="F118" s="45" t="s">
        <v>594</v>
      </c>
      <c r="G118" s="55">
        <v>12</v>
      </c>
      <c r="H118" s="55">
        <v>0</v>
      </c>
      <c r="I118" s="55">
        <f>G118*AN118</f>
        <v>0</v>
      </c>
      <c r="J118" s="55">
        <f>G118*AO118</f>
        <v>0</v>
      </c>
      <c r="K118" s="55">
        <f>G118*H118</f>
        <v>0</v>
      </c>
      <c r="Y118" s="36">
        <f>IF(AP118="5",BI118,0)</f>
        <v>0</v>
      </c>
      <c r="AA118" s="36">
        <f>IF(AP118="1",BG118,0)</f>
        <v>0</v>
      </c>
      <c r="AB118" s="36">
        <f>IF(AP118="1",BH118,0)</f>
        <v>0</v>
      </c>
      <c r="AC118" s="36">
        <f>IF(AP118="7",BG118,0)</f>
        <v>0</v>
      </c>
      <c r="AD118" s="36">
        <f>IF(AP118="7",BH118,0)</f>
        <v>0</v>
      </c>
      <c r="AE118" s="36">
        <f>IF(AP118="2",BG118,0)</f>
        <v>0</v>
      </c>
      <c r="AF118" s="36">
        <f>IF(AP118="2",BH118,0)</f>
        <v>0</v>
      </c>
      <c r="AG118" s="36">
        <f>IF(AP118="0",BI118,0)</f>
        <v>0</v>
      </c>
      <c r="AH118" s="59" t="s">
        <v>71</v>
      </c>
      <c r="AI118" s="55">
        <f>IF(AM118=0,K118,0)</f>
        <v>0</v>
      </c>
      <c r="AJ118" s="55">
        <f>IF(AM118=15,K118,0)</f>
        <v>0</v>
      </c>
      <c r="AK118" s="55">
        <f>IF(AM118=21,K118,0)</f>
        <v>0</v>
      </c>
      <c r="AM118" s="36">
        <v>21</v>
      </c>
      <c r="AN118" s="36">
        <f>H118*1</f>
        <v>0</v>
      </c>
      <c r="AO118" s="36">
        <f>H118*(1-1)</f>
        <v>0</v>
      </c>
      <c r="AP118" s="61" t="s">
        <v>616</v>
      </c>
      <c r="AU118" s="36">
        <f>AV118+AW118</f>
        <v>0</v>
      </c>
      <c r="AV118" s="36">
        <f>G118*AN118</f>
        <v>0</v>
      </c>
      <c r="AW118" s="36">
        <f>G118*AO118</f>
        <v>0</v>
      </c>
      <c r="AX118" s="62" t="s">
        <v>637</v>
      </c>
      <c r="AY118" s="62" t="s">
        <v>653</v>
      </c>
      <c r="AZ118" s="59" t="s">
        <v>662</v>
      </c>
      <c r="BB118" s="36">
        <f>AV118+AW118</f>
        <v>0</v>
      </c>
      <c r="BC118" s="36">
        <f>H118/(100-BD118)*100</f>
        <v>0</v>
      </c>
      <c r="BD118" s="36">
        <v>0</v>
      </c>
      <c r="BE118" s="36">
        <f>118</f>
        <v>118</v>
      </c>
      <c r="BG118" s="55">
        <f>G118*AN118</f>
        <v>0</v>
      </c>
      <c r="BH118" s="55">
        <f>G118*AO118</f>
        <v>0</v>
      </c>
      <c r="BI118" s="55">
        <f>G118*H118</f>
        <v>0</v>
      </c>
    </row>
    <row r="119" spans="1:11" ht="12.75">
      <c r="A119" s="46"/>
      <c r="B119" s="52"/>
      <c r="C119" s="166" t="s">
        <v>80</v>
      </c>
      <c r="D119" s="167"/>
      <c r="E119" s="167"/>
      <c r="F119" s="46" t="s">
        <v>69</v>
      </c>
      <c r="G119" s="46" t="s">
        <v>69</v>
      </c>
      <c r="H119" s="46" t="s">
        <v>69</v>
      </c>
      <c r="I119" s="65">
        <f>I120+I132+I154</f>
        <v>0</v>
      </c>
      <c r="J119" s="65">
        <f>J120+J132+J154</f>
        <v>0</v>
      </c>
      <c r="K119" s="65">
        <f>K120+K132+K154</f>
        <v>0</v>
      </c>
    </row>
    <row r="120" spans="1:46" ht="12.75">
      <c r="A120" s="43"/>
      <c r="B120" s="51" t="s">
        <v>329</v>
      </c>
      <c r="C120" s="158" t="s">
        <v>509</v>
      </c>
      <c r="D120" s="159"/>
      <c r="E120" s="159"/>
      <c r="F120" s="43" t="s">
        <v>69</v>
      </c>
      <c r="G120" s="43" t="s">
        <v>69</v>
      </c>
      <c r="H120" s="43" t="s">
        <v>69</v>
      </c>
      <c r="I120" s="64">
        <f>SUM(I121:I131)</f>
        <v>0</v>
      </c>
      <c r="J120" s="64">
        <f>SUM(J121:J131)</f>
        <v>0</v>
      </c>
      <c r="K120" s="64">
        <f>SUM(K121:K131)</f>
        <v>0</v>
      </c>
      <c r="AH120" s="59" t="s">
        <v>72</v>
      </c>
      <c r="AR120" s="64">
        <f>SUM(AI121:AI131)</f>
        <v>0</v>
      </c>
      <c r="AS120" s="64">
        <f>SUM(AJ121:AJ131)</f>
        <v>0</v>
      </c>
      <c r="AT120" s="64">
        <f>SUM(AK121:AK131)</f>
        <v>0</v>
      </c>
    </row>
    <row r="121" spans="1:61" ht="12.75">
      <c r="A121" s="44" t="s">
        <v>183</v>
      </c>
      <c r="B121" s="44" t="s">
        <v>330</v>
      </c>
      <c r="C121" s="160" t="s">
        <v>510</v>
      </c>
      <c r="D121" s="161"/>
      <c r="E121" s="161"/>
      <c r="F121" s="44" t="s">
        <v>593</v>
      </c>
      <c r="G121" s="54">
        <v>18</v>
      </c>
      <c r="H121" s="54">
        <v>0</v>
      </c>
      <c r="I121" s="54">
        <f aca="true" t="shared" si="66" ref="I121:I128">G121*AN121</f>
        <v>0</v>
      </c>
      <c r="J121" s="54">
        <f aca="true" t="shared" si="67" ref="J121:J128">G121*AO121</f>
        <v>0</v>
      </c>
      <c r="K121" s="54">
        <f aca="true" t="shared" si="68" ref="K121:K128">G121*H121</f>
        <v>0</v>
      </c>
      <c r="Y121" s="36">
        <f aca="true" t="shared" si="69" ref="Y121:Y128">IF(AP121="5",BI121,0)</f>
        <v>0</v>
      </c>
      <c r="AA121" s="36">
        <f aca="true" t="shared" si="70" ref="AA121:AA128">IF(AP121="1",BG121,0)</f>
        <v>0</v>
      </c>
      <c r="AB121" s="36">
        <f aca="true" t="shared" si="71" ref="AB121:AB128">IF(AP121="1",BH121,0)</f>
        <v>0</v>
      </c>
      <c r="AC121" s="36">
        <f aca="true" t="shared" si="72" ref="AC121:AC128">IF(AP121="7",BG121,0)</f>
        <v>0</v>
      </c>
      <c r="AD121" s="36">
        <f aca="true" t="shared" si="73" ref="AD121:AD128">IF(AP121="7",BH121,0)</f>
        <v>0</v>
      </c>
      <c r="AE121" s="36">
        <f aca="true" t="shared" si="74" ref="AE121:AE128">IF(AP121="2",BG121,0)</f>
        <v>0</v>
      </c>
      <c r="AF121" s="36">
        <f aca="true" t="shared" si="75" ref="AF121:AF128">IF(AP121="2",BH121,0)</f>
        <v>0</v>
      </c>
      <c r="AG121" s="36">
        <f aca="true" t="shared" si="76" ref="AG121:AG128">IF(AP121="0",BI121,0)</f>
        <v>0</v>
      </c>
      <c r="AH121" s="59" t="s">
        <v>72</v>
      </c>
      <c r="AI121" s="54">
        <f aca="true" t="shared" si="77" ref="AI121:AI128">IF(AM121=0,K121,0)</f>
        <v>0</v>
      </c>
      <c r="AJ121" s="54">
        <f aca="true" t="shared" si="78" ref="AJ121:AJ128">IF(AM121=15,K121,0)</f>
        <v>0</v>
      </c>
      <c r="AK121" s="54">
        <f aca="true" t="shared" si="79" ref="AK121:AK128">IF(AM121=21,K121,0)</f>
        <v>0</v>
      </c>
      <c r="AM121" s="36">
        <v>21</v>
      </c>
      <c r="AN121" s="36">
        <f>H121*0.261773889706072</f>
        <v>0</v>
      </c>
      <c r="AO121" s="36">
        <f>H121*(1-0.261773889706072)</f>
        <v>0</v>
      </c>
      <c r="AP121" s="60" t="s">
        <v>121</v>
      </c>
      <c r="AU121" s="36">
        <f aca="true" t="shared" si="80" ref="AU121:AU128">AV121+AW121</f>
        <v>0</v>
      </c>
      <c r="AV121" s="36">
        <f aca="true" t="shared" si="81" ref="AV121:AV128">G121*AN121</f>
        <v>0</v>
      </c>
      <c r="AW121" s="36">
        <f aca="true" t="shared" si="82" ref="AW121:AW128">G121*AO121</f>
        <v>0</v>
      </c>
      <c r="AX121" s="62" t="s">
        <v>638</v>
      </c>
      <c r="AY121" s="62" t="s">
        <v>654</v>
      </c>
      <c r="AZ121" s="59" t="s">
        <v>663</v>
      </c>
      <c r="BB121" s="36">
        <f aca="true" t="shared" si="83" ref="BB121:BB128">AV121+AW121</f>
        <v>0</v>
      </c>
      <c r="BC121" s="36">
        <f aca="true" t="shared" si="84" ref="BC121:BC128">H121/(100-BD121)*100</f>
        <v>0</v>
      </c>
      <c r="BD121" s="36">
        <v>0</v>
      </c>
      <c r="BE121" s="36">
        <f>121</f>
        <v>121</v>
      </c>
      <c r="BG121" s="54">
        <f aca="true" t="shared" si="85" ref="BG121:BG128">G121*AN121</f>
        <v>0</v>
      </c>
      <c r="BH121" s="54">
        <f aca="true" t="shared" si="86" ref="BH121:BH128">G121*AO121</f>
        <v>0</v>
      </c>
      <c r="BI121" s="54">
        <f aca="true" t="shared" si="87" ref="BI121:BI128">G121*H121</f>
        <v>0</v>
      </c>
    </row>
    <row r="122" spans="1:61" ht="12.75">
      <c r="A122" s="44" t="s">
        <v>184</v>
      </c>
      <c r="B122" s="44" t="s">
        <v>331</v>
      </c>
      <c r="C122" s="160" t="s">
        <v>511</v>
      </c>
      <c r="D122" s="161"/>
      <c r="E122" s="161"/>
      <c r="F122" s="44" t="s">
        <v>593</v>
      </c>
      <c r="G122" s="54">
        <v>9.4</v>
      </c>
      <c r="H122" s="54">
        <v>0</v>
      </c>
      <c r="I122" s="54">
        <f t="shared" si="66"/>
        <v>0</v>
      </c>
      <c r="J122" s="54">
        <f t="shared" si="67"/>
        <v>0</v>
      </c>
      <c r="K122" s="54">
        <f t="shared" si="68"/>
        <v>0</v>
      </c>
      <c r="Y122" s="36">
        <f t="shared" si="69"/>
        <v>0</v>
      </c>
      <c r="AA122" s="36">
        <f t="shared" si="70"/>
        <v>0</v>
      </c>
      <c r="AB122" s="36">
        <f t="shared" si="71"/>
        <v>0</v>
      </c>
      <c r="AC122" s="36">
        <f t="shared" si="72"/>
        <v>0</v>
      </c>
      <c r="AD122" s="36">
        <f t="shared" si="73"/>
        <v>0</v>
      </c>
      <c r="AE122" s="36">
        <f t="shared" si="74"/>
        <v>0</v>
      </c>
      <c r="AF122" s="36">
        <f t="shared" si="75"/>
        <v>0</v>
      </c>
      <c r="AG122" s="36">
        <f t="shared" si="76"/>
        <v>0</v>
      </c>
      <c r="AH122" s="59" t="s">
        <v>72</v>
      </c>
      <c r="AI122" s="54">
        <f t="shared" si="77"/>
        <v>0</v>
      </c>
      <c r="AJ122" s="54">
        <f t="shared" si="78"/>
        <v>0</v>
      </c>
      <c r="AK122" s="54">
        <f t="shared" si="79"/>
        <v>0</v>
      </c>
      <c r="AM122" s="36">
        <v>21</v>
      </c>
      <c r="AN122" s="36">
        <f>H122*0.233949843260188</f>
        <v>0</v>
      </c>
      <c r="AO122" s="36">
        <f>H122*(1-0.233949843260188)</f>
        <v>0</v>
      </c>
      <c r="AP122" s="60" t="s">
        <v>121</v>
      </c>
      <c r="AU122" s="36">
        <f t="shared" si="80"/>
        <v>0</v>
      </c>
      <c r="AV122" s="36">
        <f t="shared" si="81"/>
        <v>0</v>
      </c>
      <c r="AW122" s="36">
        <f t="shared" si="82"/>
        <v>0</v>
      </c>
      <c r="AX122" s="62" t="s">
        <v>638</v>
      </c>
      <c r="AY122" s="62" t="s">
        <v>654</v>
      </c>
      <c r="AZ122" s="59" t="s">
        <v>663</v>
      </c>
      <c r="BB122" s="36">
        <f t="shared" si="83"/>
        <v>0</v>
      </c>
      <c r="BC122" s="36">
        <f t="shared" si="84"/>
        <v>0</v>
      </c>
      <c r="BD122" s="36">
        <v>0</v>
      </c>
      <c r="BE122" s="36">
        <f>122</f>
        <v>122</v>
      </c>
      <c r="BG122" s="54">
        <f t="shared" si="85"/>
        <v>0</v>
      </c>
      <c r="BH122" s="54">
        <f t="shared" si="86"/>
        <v>0</v>
      </c>
      <c r="BI122" s="54">
        <f t="shared" si="87"/>
        <v>0</v>
      </c>
    </row>
    <row r="123" spans="1:61" ht="12.75">
      <c r="A123" s="44" t="s">
        <v>97</v>
      </c>
      <c r="B123" s="44" t="s">
        <v>332</v>
      </c>
      <c r="C123" s="160" t="s">
        <v>512</v>
      </c>
      <c r="D123" s="161"/>
      <c r="E123" s="161"/>
      <c r="F123" s="44" t="s">
        <v>593</v>
      </c>
      <c r="G123" s="54">
        <v>25.5</v>
      </c>
      <c r="H123" s="54">
        <v>0</v>
      </c>
      <c r="I123" s="54">
        <f t="shared" si="66"/>
        <v>0</v>
      </c>
      <c r="J123" s="54">
        <f t="shared" si="67"/>
        <v>0</v>
      </c>
      <c r="K123" s="54">
        <f t="shared" si="68"/>
        <v>0</v>
      </c>
      <c r="Y123" s="36">
        <f t="shared" si="69"/>
        <v>0</v>
      </c>
      <c r="AA123" s="36">
        <f t="shared" si="70"/>
        <v>0</v>
      </c>
      <c r="AB123" s="36">
        <f t="shared" si="71"/>
        <v>0</v>
      </c>
      <c r="AC123" s="36">
        <f t="shared" si="72"/>
        <v>0</v>
      </c>
      <c r="AD123" s="36">
        <f t="shared" si="73"/>
        <v>0</v>
      </c>
      <c r="AE123" s="36">
        <f t="shared" si="74"/>
        <v>0</v>
      </c>
      <c r="AF123" s="36">
        <f t="shared" si="75"/>
        <v>0</v>
      </c>
      <c r="AG123" s="36">
        <f t="shared" si="76"/>
        <v>0</v>
      </c>
      <c r="AH123" s="59" t="s">
        <v>72</v>
      </c>
      <c r="AI123" s="54">
        <f t="shared" si="77"/>
        <v>0</v>
      </c>
      <c r="AJ123" s="54">
        <f t="shared" si="78"/>
        <v>0</v>
      </c>
      <c r="AK123" s="54">
        <f t="shared" si="79"/>
        <v>0</v>
      </c>
      <c r="AM123" s="36">
        <v>21</v>
      </c>
      <c r="AN123" s="36">
        <f>H123*0.220765550239234</f>
        <v>0</v>
      </c>
      <c r="AO123" s="36">
        <f>H123*(1-0.220765550239234)</f>
        <v>0</v>
      </c>
      <c r="AP123" s="60" t="s">
        <v>121</v>
      </c>
      <c r="AU123" s="36">
        <f t="shared" si="80"/>
        <v>0</v>
      </c>
      <c r="AV123" s="36">
        <f t="shared" si="81"/>
        <v>0</v>
      </c>
      <c r="AW123" s="36">
        <f t="shared" si="82"/>
        <v>0</v>
      </c>
      <c r="AX123" s="62" t="s">
        <v>638</v>
      </c>
      <c r="AY123" s="62" t="s">
        <v>654</v>
      </c>
      <c r="AZ123" s="59" t="s">
        <v>663</v>
      </c>
      <c r="BB123" s="36">
        <f t="shared" si="83"/>
        <v>0</v>
      </c>
      <c r="BC123" s="36">
        <f t="shared" si="84"/>
        <v>0</v>
      </c>
      <c r="BD123" s="36">
        <v>0</v>
      </c>
      <c r="BE123" s="36">
        <f>123</f>
        <v>123</v>
      </c>
      <c r="BG123" s="54">
        <f t="shared" si="85"/>
        <v>0</v>
      </c>
      <c r="BH123" s="54">
        <f t="shared" si="86"/>
        <v>0</v>
      </c>
      <c r="BI123" s="54">
        <f t="shared" si="87"/>
        <v>0</v>
      </c>
    </row>
    <row r="124" spans="1:61" ht="12.75">
      <c r="A124" s="44" t="s">
        <v>98</v>
      </c>
      <c r="B124" s="44" t="s">
        <v>333</v>
      </c>
      <c r="C124" s="160" t="s">
        <v>513</v>
      </c>
      <c r="D124" s="161"/>
      <c r="E124" s="161"/>
      <c r="F124" s="44" t="s">
        <v>593</v>
      </c>
      <c r="G124" s="54">
        <v>6</v>
      </c>
      <c r="H124" s="54">
        <v>0</v>
      </c>
      <c r="I124" s="54">
        <f t="shared" si="66"/>
        <v>0</v>
      </c>
      <c r="J124" s="54">
        <f t="shared" si="67"/>
        <v>0</v>
      </c>
      <c r="K124" s="54">
        <f t="shared" si="68"/>
        <v>0</v>
      </c>
      <c r="Y124" s="36">
        <f t="shared" si="69"/>
        <v>0</v>
      </c>
      <c r="AA124" s="36">
        <f t="shared" si="70"/>
        <v>0</v>
      </c>
      <c r="AB124" s="36">
        <f t="shared" si="71"/>
        <v>0</v>
      </c>
      <c r="AC124" s="36">
        <f t="shared" si="72"/>
        <v>0</v>
      </c>
      <c r="AD124" s="36">
        <f t="shared" si="73"/>
        <v>0</v>
      </c>
      <c r="AE124" s="36">
        <f t="shared" si="74"/>
        <v>0</v>
      </c>
      <c r="AF124" s="36">
        <f t="shared" si="75"/>
        <v>0</v>
      </c>
      <c r="AG124" s="36">
        <f t="shared" si="76"/>
        <v>0</v>
      </c>
      <c r="AH124" s="59" t="s">
        <v>72</v>
      </c>
      <c r="AI124" s="54">
        <f t="shared" si="77"/>
        <v>0</v>
      </c>
      <c r="AJ124" s="54">
        <f t="shared" si="78"/>
        <v>0</v>
      </c>
      <c r="AK124" s="54">
        <f t="shared" si="79"/>
        <v>0</v>
      </c>
      <c r="AM124" s="36">
        <v>21</v>
      </c>
      <c r="AN124" s="36">
        <f>H124*0.241842448739</f>
        <v>0</v>
      </c>
      <c r="AO124" s="36">
        <f>H124*(1-0.241842448739)</f>
        <v>0</v>
      </c>
      <c r="AP124" s="60" t="s">
        <v>121</v>
      </c>
      <c r="AU124" s="36">
        <f t="shared" si="80"/>
        <v>0</v>
      </c>
      <c r="AV124" s="36">
        <f t="shared" si="81"/>
        <v>0</v>
      </c>
      <c r="AW124" s="36">
        <f t="shared" si="82"/>
        <v>0</v>
      </c>
      <c r="AX124" s="62" t="s">
        <v>638</v>
      </c>
      <c r="AY124" s="62" t="s">
        <v>654</v>
      </c>
      <c r="AZ124" s="59" t="s">
        <v>663</v>
      </c>
      <c r="BB124" s="36">
        <f t="shared" si="83"/>
        <v>0</v>
      </c>
      <c r="BC124" s="36">
        <f t="shared" si="84"/>
        <v>0</v>
      </c>
      <c r="BD124" s="36">
        <v>0</v>
      </c>
      <c r="BE124" s="36">
        <f>124</f>
        <v>124</v>
      </c>
      <c r="BG124" s="54">
        <f t="shared" si="85"/>
        <v>0</v>
      </c>
      <c r="BH124" s="54">
        <f t="shared" si="86"/>
        <v>0</v>
      </c>
      <c r="BI124" s="54">
        <f t="shared" si="87"/>
        <v>0</v>
      </c>
    </row>
    <row r="125" spans="1:61" ht="12.75">
      <c r="A125" s="44" t="s">
        <v>99</v>
      </c>
      <c r="B125" s="44" t="s">
        <v>334</v>
      </c>
      <c r="C125" s="160" t="s">
        <v>514</v>
      </c>
      <c r="D125" s="161"/>
      <c r="E125" s="161"/>
      <c r="F125" s="44" t="s">
        <v>593</v>
      </c>
      <c r="G125" s="54">
        <v>58.9</v>
      </c>
      <c r="H125" s="54">
        <v>0</v>
      </c>
      <c r="I125" s="54">
        <f t="shared" si="66"/>
        <v>0</v>
      </c>
      <c r="J125" s="54">
        <f t="shared" si="67"/>
        <v>0</v>
      </c>
      <c r="K125" s="54">
        <f t="shared" si="68"/>
        <v>0</v>
      </c>
      <c r="Y125" s="36">
        <f t="shared" si="69"/>
        <v>0</v>
      </c>
      <c r="AA125" s="36">
        <f t="shared" si="70"/>
        <v>0</v>
      </c>
      <c r="AB125" s="36">
        <f t="shared" si="71"/>
        <v>0</v>
      </c>
      <c r="AC125" s="36">
        <f t="shared" si="72"/>
        <v>0</v>
      </c>
      <c r="AD125" s="36">
        <f t="shared" si="73"/>
        <v>0</v>
      </c>
      <c r="AE125" s="36">
        <f t="shared" si="74"/>
        <v>0</v>
      </c>
      <c r="AF125" s="36">
        <f t="shared" si="75"/>
        <v>0</v>
      </c>
      <c r="AG125" s="36">
        <f t="shared" si="76"/>
        <v>0</v>
      </c>
      <c r="AH125" s="59" t="s">
        <v>72</v>
      </c>
      <c r="AI125" s="54">
        <f t="shared" si="77"/>
        <v>0</v>
      </c>
      <c r="AJ125" s="54">
        <f t="shared" si="78"/>
        <v>0</v>
      </c>
      <c r="AK125" s="54">
        <f t="shared" si="79"/>
        <v>0</v>
      </c>
      <c r="AM125" s="36">
        <v>21</v>
      </c>
      <c r="AN125" s="36">
        <f>H125*0.0134751773049645</f>
        <v>0</v>
      </c>
      <c r="AO125" s="36">
        <f>H125*(1-0.0134751773049645)</f>
        <v>0</v>
      </c>
      <c r="AP125" s="60" t="s">
        <v>121</v>
      </c>
      <c r="AU125" s="36">
        <f t="shared" si="80"/>
        <v>0</v>
      </c>
      <c r="AV125" s="36">
        <f t="shared" si="81"/>
        <v>0</v>
      </c>
      <c r="AW125" s="36">
        <f t="shared" si="82"/>
        <v>0</v>
      </c>
      <c r="AX125" s="62" t="s">
        <v>638</v>
      </c>
      <c r="AY125" s="62" t="s">
        <v>654</v>
      </c>
      <c r="AZ125" s="59" t="s">
        <v>663</v>
      </c>
      <c r="BB125" s="36">
        <f t="shared" si="83"/>
        <v>0</v>
      </c>
      <c r="BC125" s="36">
        <f t="shared" si="84"/>
        <v>0</v>
      </c>
      <c r="BD125" s="36">
        <v>0</v>
      </c>
      <c r="BE125" s="36">
        <f>125</f>
        <v>125</v>
      </c>
      <c r="BG125" s="54">
        <f t="shared" si="85"/>
        <v>0</v>
      </c>
      <c r="BH125" s="54">
        <f t="shared" si="86"/>
        <v>0</v>
      </c>
      <c r="BI125" s="54">
        <f t="shared" si="87"/>
        <v>0</v>
      </c>
    </row>
    <row r="126" spans="1:61" ht="12.75">
      <c r="A126" s="44" t="s">
        <v>185</v>
      </c>
      <c r="B126" s="44" t="s">
        <v>335</v>
      </c>
      <c r="C126" s="160" t="s">
        <v>515</v>
      </c>
      <c r="D126" s="161"/>
      <c r="E126" s="161"/>
      <c r="F126" s="44" t="s">
        <v>593</v>
      </c>
      <c r="G126" s="54">
        <v>58.9</v>
      </c>
      <c r="H126" s="54">
        <v>0</v>
      </c>
      <c r="I126" s="54">
        <f t="shared" si="66"/>
        <v>0</v>
      </c>
      <c r="J126" s="54">
        <f t="shared" si="67"/>
        <v>0</v>
      </c>
      <c r="K126" s="54">
        <f t="shared" si="68"/>
        <v>0</v>
      </c>
      <c r="Y126" s="36">
        <f t="shared" si="69"/>
        <v>0</v>
      </c>
      <c r="AA126" s="36">
        <f t="shared" si="70"/>
        <v>0</v>
      </c>
      <c r="AB126" s="36">
        <f t="shared" si="71"/>
        <v>0</v>
      </c>
      <c r="AC126" s="36">
        <f t="shared" si="72"/>
        <v>0</v>
      </c>
      <c r="AD126" s="36">
        <f t="shared" si="73"/>
        <v>0</v>
      </c>
      <c r="AE126" s="36">
        <f t="shared" si="74"/>
        <v>0</v>
      </c>
      <c r="AF126" s="36">
        <f t="shared" si="75"/>
        <v>0</v>
      </c>
      <c r="AG126" s="36">
        <f t="shared" si="76"/>
        <v>0</v>
      </c>
      <c r="AH126" s="59" t="s">
        <v>72</v>
      </c>
      <c r="AI126" s="54">
        <f t="shared" si="77"/>
        <v>0</v>
      </c>
      <c r="AJ126" s="54">
        <f t="shared" si="78"/>
        <v>0</v>
      </c>
      <c r="AK126" s="54">
        <f t="shared" si="79"/>
        <v>0</v>
      </c>
      <c r="AM126" s="36">
        <v>21</v>
      </c>
      <c r="AN126" s="36">
        <f>H126*0.05</f>
        <v>0</v>
      </c>
      <c r="AO126" s="36">
        <f>H126*(1-0.05)</f>
        <v>0</v>
      </c>
      <c r="AP126" s="60" t="s">
        <v>121</v>
      </c>
      <c r="AU126" s="36">
        <f t="shared" si="80"/>
        <v>0</v>
      </c>
      <c r="AV126" s="36">
        <f t="shared" si="81"/>
        <v>0</v>
      </c>
      <c r="AW126" s="36">
        <f t="shared" si="82"/>
        <v>0</v>
      </c>
      <c r="AX126" s="62" t="s">
        <v>638</v>
      </c>
      <c r="AY126" s="62" t="s">
        <v>654</v>
      </c>
      <c r="AZ126" s="59" t="s">
        <v>663</v>
      </c>
      <c r="BB126" s="36">
        <f t="shared" si="83"/>
        <v>0</v>
      </c>
      <c r="BC126" s="36">
        <f t="shared" si="84"/>
        <v>0</v>
      </c>
      <c r="BD126" s="36">
        <v>0</v>
      </c>
      <c r="BE126" s="36">
        <f>126</f>
        <v>126</v>
      </c>
      <c r="BG126" s="54">
        <f t="shared" si="85"/>
        <v>0</v>
      </c>
      <c r="BH126" s="54">
        <f t="shared" si="86"/>
        <v>0</v>
      </c>
      <c r="BI126" s="54">
        <f t="shared" si="87"/>
        <v>0</v>
      </c>
    </row>
    <row r="127" spans="1:61" ht="12.75">
      <c r="A127" s="44" t="s">
        <v>186</v>
      </c>
      <c r="B127" s="44" t="s">
        <v>336</v>
      </c>
      <c r="C127" s="160" t="s">
        <v>516</v>
      </c>
      <c r="D127" s="161"/>
      <c r="E127" s="161"/>
      <c r="F127" s="44" t="s">
        <v>594</v>
      </c>
      <c r="G127" s="54">
        <v>6</v>
      </c>
      <c r="H127" s="54">
        <v>0</v>
      </c>
      <c r="I127" s="54">
        <f t="shared" si="66"/>
        <v>0</v>
      </c>
      <c r="J127" s="54">
        <f t="shared" si="67"/>
        <v>0</v>
      </c>
      <c r="K127" s="54">
        <f t="shared" si="68"/>
        <v>0</v>
      </c>
      <c r="Y127" s="36">
        <f t="shared" si="69"/>
        <v>0</v>
      </c>
      <c r="AA127" s="36">
        <f t="shared" si="70"/>
        <v>0</v>
      </c>
      <c r="AB127" s="36">
        <f t="shared" si="71"/>
        <v>0</v>
      </c>
      <c r="AC127" s="36">
        <f t="shared" si="72"/>
        <v>0</v>
      </c>
      <c r="AD127" s="36">
        <f t="shared" si="73"/>
        <v>0</v>
      </c>
      <c r="AE127" s="36">
        <f t="shared" si="74"/>
        <v>0</v>
      </c>
      <c r="AF127" s="36">
        <f t="shared" si="75"/>
        <v>0</v>
      </c>
      <c r="AG127" s="36">
        <f t="shared" si="76"/>
        <v>0</v>
      </c>
      <c r="AH127" s="59" t="s">
        <v>72</v>
      </c>
      <c r="AI127" s="54">
        <f t="shared" si="77"/>
        <v>0</v>
      </c>
      <c r="AJ127" s="54">
        <f t="shared" si="78"/>
        <v>0</v>
      </c>
      <c r="AK127" s="54">
        <f t="shared" si="79"/>
        <v>0</v>
      </c>
      <c r="AM127" s="36">
        <v>21</v>
      </c>
      <c r="AN127" s="36">
        <f>H127*0.680790774299835</f>
        <v>0</v>
      </c>
      <c r="AO127" s="36">
        <f>H127*(1-0.680790774299835)</f>
        <v>0</v>
      </c>
      <c r="AP127" s="60" t="s">
        <v>121</v>
      </c>
      <c r="AU127" s="36">
        <f t="shared" si="80"/>
        <v>0</v>
      </c>
      <c r="AV127" s="36">
        <f t="shared" si="81"/>
        <v>0</v>
      </c>
      <c r="AW127" s="36">
        <f t="shared" si="82"/>
        <v>0</v>
      </c>
      <c r="AX127" s="62" t="s">
        <v>638</v>
      </c>
      <c r="AY127" s="62" t="s">
        <v>654</v>
      </c>
      <c r="AZ127" s="59" t="s">
        <v>663</v>
      </c>
      <c r="BB127" s="36">
        <f t="shared" si="83"/>
        <v>0</v>
      </c>
      <c r="BC127" s="36">
        <f t="shared" si="84"/>
        <v>0</v>
      </c>
      <c r="BD127" s="36">
        <v>0</v>
      </c>
      <c r="BE127" s="36">
        <f>127</f>
        <v>127</v>
      </c>
      <c r="BG127" s="54">
        <f t="shared" si="85"/>
        <v>0</v>
      </c>
      <c r="BH127" s="54">
        <f t="shared" si="86"/>
        <v>0</v>
      </c>
      <c r="BI127" s="54">
        <f t="shared" si="87"/>
        <v>0</v>
      </c>
    </row>
    <row r="128" spans="1:61" ht="12.75">
      <c r="A128" s="44" t="s">
        <v>187</v>
      </c>
      <c r="B128" s="44" t="s">
        <v>337</v>
      </c>
      <c r="C128" s="160" t="s">
        <v>517</v>
      </c>
      <c r="D128" s="161"/>
      <c r="E128" s="161"/>
      <c r="F128" s="44" t="s">
        <v>593</v>
      </c>
      <c r="G128" s="54">
        <v>58.9</v>
      </c>
      <c r="H128" s="54">
        <v>0</v>
      </c>
      <c r="I128" s="54">
        <f t="shared" si="66"/>
        <v>0</v>
      </c>
      <c r="J128" s="54">
        <f t="shared" si="67"/>
        <v>0</v>
      </c>
      <c r="K128" s="54">
        <f t="shared" si="68"/>
        <v>0</v>
      </c>
      <c r="Y128" s="36">
        <f t="shared" si="69"/>
        <v>0</v>
      </c>
      <c r="AA128" s="36">
        <f t="shared" si="70"/>
        <v>0</v>
      </c>
      <c r="AB128" s="36">
        <f t="shared" si="71"/>
        <v>0</v>
      </c>
      <c r="AC128" s="36">
        <f t="shared" si="72"/>
        <v>0</v>
      </c>
      <c r="AD128" s="36">
        <f t="shared" si="73"/>
        <v>0</v>
      </c>
      <c r="AE128" s="36">
        <f t="shared" si="74"/>
        <v>0</v>
      </c>
      <c r="AF128" s="36">
        <f t="shared" si="75"/>
        <v>0</v>
      </c>
      <c r="AG128" s="36">
        <f t="shared" si="76"/>
        <v>0</v>
      </c>
      <c r="AH128" s="59" t="s">
        <v>72</v>
      </c>
      <c r="AI128" s="54">
        <f t="shared" si="77"/>
        <v>0</v>
      </c>
      <c r="AJ128" s="54">
        <f t="shared" si="78"/>
        <v>0</v>
      </c>
      <c r="AK128" s="54">
        <f t="shared" si="79"/>
        <v>0</v>
      </c>
      <c r="AM128" s="36">
        <v>21</v>
      </c>
      <c r="AN128" s="36">
        <f>H128*0.312484700122399</f>
        <v>0</v>
      </c>
      <c r="AO128" s="36">
        <f>H128*(1-0.312484700122399)</f>
        <v>0</v>
      </c>
      <c r="AP128" s="60" t="s">
        <v>121</v>
      </c>
      <c r="AU128" s="36">
        <f t="shared" si="80"/>
        <v>0</v>
      </c>
      <c r="AV128" s="36">
        <f t="shared" si="81"/>
        <v>0</v>
      </c>
      <c r="AW128" s="36">
        <f t="shared" si="82"/>
        <v>0</v>
      </c>
      <c r="AX128" s="62" t="s">
        <v>638</v>
      </c>
      <c r="AY128" s="62" t="s">
        <v>654</v>
      </c>
      <c r="AZ128" s="59" t="s">
        <v>663</v>
      </c>
      <c r="BB128" s="36">
        <f t="shared" si="83"/>
        <v>0</v>
      </c>
      <c r="BC128" s="36">
        <f t="shared" si="84"/>
        <v>0</v>
      </c>
      <c r="BD128" s="36">
        <v>0</v>
      </c>
      <c r="BE128" s="36">
        <f>128</f>
        <v>128</v>
      </c>
      <c r="BG128" s="54">
        <f t="shared" si="85"/>
        <v>0</v>
      </c>
      <c r="BH128" s="54">
        <f t="shared" si="86"/>
        <v>0</v>
      </c>
      <c r="BI128" s="54">
        <f t="shared" si="87"/>
        <v>0</v>
      </c>
    </row>
    <row r="129" spans="3:5" ht="12.75">
      <c r="C129" s="164" t="s">
        <v>518</v>
      </c>
      <c r="D129" s="165"/>
      <c r="E129" s="165"/>
    </row>
    <row r="130" spans="1:61" ht="12.75">
      <c r="A130" s="44" t="s">
        <v>188</v>
      </c>
      <c r="B130" s="44" t="s">
        <v>338</v>
      </c>
      <c r="C130" s="160" t="s">
        <v>519</v>
      </c>
      <c r="D130" s="161"/>
      <c r="E130" s="161"/>
      <c r="F130" s="44" t="s">
        <v>594</v>
      </c>
      <c r="G130" s="54">
        <v>43</v>
      </c>
      <c r="H130" s="54">
        <v>0</v>
      </c>
      <c r="I130" s="54">
        <f>G130*AN130</f>
        <v>0</v>
      </c>
      <c r="J130" s="54">
        <f>G130*AO130</f>
        <v>0</v>
      </c>
      <c r="K130" s="54">
        <f>G130*H130</f>
        <v>0</v>
      </c>
      <c r="Y130" s="36">
        <f>IF(AP130="5",BI130,0)</f>
        <v>0</v>
      </c>
      <c r="AA130" s="36">
        <f>IF(AP130="1",BG130,0)</f>
        <v>0</v>
      </c>
      <c r="AB130" s="36">
        <f>IF(AP130="1",BH130,0)</f>
        <v>0</v>
      </c>
      <c r="AC130" s="36">
        <f>IF(AP130="7",BG130,0)</f>
        <v>0</v>
      </c>
      <c r="AD130" s="36">
        <f>IF(AP130="7",BH130,0)</f>
        <v>0</v>
      </c>
      <c r="AE130" s="36">
        <f>IF(AP130="2",BG130,0)</f>
        <v>0</v>
      </c>
      <c r="AF130" s="36">
        <f>IF(AP130="2",BH130,0)</f>
        <v>0</v>
      </c>
      <c r="AG130" s="36">
        <f>IF(AP130="0",BI130,0)</f>
        <v>0</v>
      </c>
      <c r="AH130" s="59" t="s">
        <v>72</v>
      </c>
      <c r="AI130" s="54">
        <f>IF(AM130=0,K130,0)</f>
        <v>0</v>
      </c>
      <c r="AJ130" s="54">
        <f>IF(AM130=15,K130,0)</f>
        <v>0</v>
      </c>
      <c r="AK130" s="54">
        <f>IF(AM130=21,K130,0)</f>
        <v>0</v>
      </c>
      <c r="AM130" s="36">
        <v>21</v>
      </c>
      <c r="AN130" s="36">
        <f>H130*0.371736842105263</f>
        <v>0</v>
      </c>
      <c r="AO130" s="36">
        <f>H130*(1-0.371736842105263)</f>
        <v>0</v>
      </c>
      <c r="AP130" s="60" t="s">
        <v>121</v>
      </c>
      <c r="AU130" s="36">
        <f>AV130+AW130</f>
        <v>0</v>
      </c>
      <c r="AV130" s="36">
        <f>G130*AN130</f>
        <v>0</v>
      </c>
      <c r="AW130" s="36">
        <f>G130*AO130</f>
        <v>0</v>
      </c>
      <c r="AX130" s="62" t="s">
        <v>638</v>
      </c>
      <c r="AY130" s="62" t="s">
        <v>654</v>
      </c>
      <c r="AZ130" s="59" t="s">
        <v>663</v>
      </c>
      <c r="BB130" s="36">
        <f>AV130+AW130</f>
        <v>0</v>
      </c>
      <c r="BC130" s="36">
        <f>H130/(100-BD130)*100</f>
        <v>0</v>
      </c>
      <c r="BD130" s="36">
        <v>0</v>
      </c>
      <c r="BE130" s="36">
        <f>130</f>
        <v>130</v>
      </c>
      <c r="BG130" s="54">
        <f>G130*AN130</f>
        <v>0</v>
      </c>
      <c r="BH130" s="54">
        <f>G130*AO130</f>
        <v>0</v>
      </c>
      <c r="BI130" s="54">
        <f>G130*H130</f>
        <v>0</v>
      </c>
    </row>
    <row r="131" spans="1:61" ht="12.75">
      <c r="A131" s="44" t="s">
        <v>189</v>
      </c>
      <c r="B131" s="44" t="s">
        <v>339</v>
      </c>
      <c r="C131" s="160" t="s">
        <v>520</v>
      </c>
      <c r="D131" s="161"/>
      <c r="E131" s="161"/>
      <c r="F131" s="44" t="s">
        <v>592</v>
      </c>
      <c r="G131" s="54">
        <v>0.27</v>
      </c>
      <c r="H131" s="54">
        <v>0</v>
      </c>
      <c r="I131" s="54">
        <f>G131*AN131</f>
        <v>0</v>
      </c>
      <c r="J131" s="54">
        <f>G131*AO131</f>
        <v>0</v>
      </c>
      <c r="K131" s="54">
        <f>G131*H131</f>
        <v>0</v>
      </c>
      <c r="Y131" s="36">
        <f>IF(AP131="5",BI131,0)</f>
        <v>0</v>
      </c>
      <c r="AA131" s="36">
        <f>IF(AP131="1",BG131,0)</f>
        <v>0</v>
      </c>
      <c r="AB131" s="36">
        <f>IF(AP131="1",BH131,0)</f>
        <v>0</v>
      </c>
      <c r="AC131" s="36">
        <f>IF(AP131="7",BG131,0)</f>
        <v>0</v>
      </c>
      <c r="AD131" s="36">
        <f>IF(AP131="7",BH131,0)</f>
        <v>0</v>
      </c>
      <c r="AE131" s="36">
        <f>IF(AP131="2",BG131,0)</f>
        <v>0</v>
      </c>
      <c r="AF131" s="36">
        <f>IF(AP131="2",BH131,0)</f>
        <v>0</v>
      </c>
      <c r="AG131" s="36">
        <f>IF(AP131="0",BI131,0)</f>
        <v>0</v>
      </c>
      <c r="AH131" s="59" t="s">
        <v>72</v>
      </c>
      <c r="AI131" s="54">
        <f>IF(AM131=0,K131,0)</f>
        <v>0</v>
      </c>
      <c r="AJ131" s="54">
        <f>IF(AM131=15,K131,0)</f>
        <v>0</v>
      </c>
      <c r="AK131" s="54">
        <f>IF(AM131=21,K131,0)</f>
        <v>0</v>
      </c>
      <c r="AM131" s="36">
        <v>21</v>
      </c>
      <c r="AN131" s="36">
        <f>H131*0</f>
        <v>0</v>
      </c>
      <c r="AO131" s="36">
        <f>H131*(1-0)</f>
        <v>0</v>
      </c>
      <c r="AP131" s="60" t="s">
        <v>120</v>
      </c>
      <c r="AU131" s="36">
        <f>AV131+AW131</f>
        <v>0</v>
      </c>
      <c r="AV131" s="36">
        <f>G131*AN131</f>
        <v>0</v>
      </c>
      <c r="AW131" s="36">
        <f>G131*AO131</f>
        <v>0</v>
      </c>
      <c r="AX131" s="62" t="s">
        <v>638</v>
      </c>
      <c r="AY131" s="62" t="s">
        <v>654</v>
      </c>
      <c r="AZ131" s="59" t="s">
        <v>663</v>
      </c>
      <c r="BB131" s="36">
        <f>AV131+AW131</f>
        <v>0</v>
      </c>
      <c r="BC131" s="36">
        <f>H131/(100-BD131)*100</f>
        <v>0</v>
      </c>
      <c r="BD131" s="36">
        <v>0</v>
      </c>
      <c r="BE131" s="36">
        <f>131</f>
        <v>131</v>
      </c>
      <c r="BG131" s="54">
        <f>G131*AN131</f>
        <v>0</v>
      </c>
      <c r="BH131" s="54">
        <f>G131*AO131</f>
        <v>0</v>
      </c>
      <c r="BI131" s="54">
        <f>G131*H131</f>
        <v>0</v>
      </c>
    </row>
    <row r="132" spans="1:46" ht="12.75">
      <c r="A132" s="43"/>
      <c r="B132" s="51" t="s">
        <v>340</v>
      </c>
      <c r="C132" s="158" t="s">
        <v>521</v>
      </c>
      <c r="D132" s="159"/>
      <c r="E132" s="159"/>
      <c r="F132" s="43" t="s">
        <v>69</v>
      </c>
      <c r="G132" s="43" t="s">
        <v>69</v>
      </c>
      <c r="H132" s="43" t="s">
        <v>69</v>
      </c>
      <c r="I132" s="64">
        <f>SUM(I133:I153)</f>
        <v>0</v>
      </c>
      <c r="J132" s="64">
        <f>SUM(J133:J153)</f>
        <v>0</v>
      </c>
      <c r="K132" s="64">
        <f>SUM(K133:K153)</f>
        <v>0</v>
      </c>
      <c r="AH132" s="59" t="s">
        <v>72</v>
      </c>
      <c r="AR132" s="64">
        <f>SUM(AI133:AI153)</f>
        <v>0</v>
      </c>
      <c r="AS132" s="64">
        <f>SUM(AJ133:AJ153)</f>
        <v>0</v>
      </c>
      <c r="AT132" s="64">
        <f>SUM(AK133:AK153)</f>
        <v>0</v>
      </c>
    </row>
    <row r="133" spans="1:61" ht="12.75">
      <c r="A133" s="45" t="s">
        <v>190</v>
      </c>
      <c r="B133" s="45" t="s">
        <v>341</v>
      </c>
      <c r="C133" s="162" t="s">
        <v>522</v>
      </c>
      <c r="D133" s="163"/>
      <c r="E133" s="163"/>
      <c r="F133" s="45" t="s">
        <v>594</v>
      </c>
      <c r="G133" s="55">
        <v>3</v>
      </c>
      <c r="H133" s="55">
        <v>0</v>
      </c>
      <c r="I133" s="55">
        <f>G133*AN133</f>
        <v>0</v>
      </c>
      <c r="J133" s="55">
        <f>G133*AO133</f>
        <v>0</v>
      </c>
      <c r="K133" s="55">
        <f>G133*H133</f>
        <v>0</v>
      </c>
      <c r="Y133" s="36">
        <f>IF(AP133="5",BI133,0)</f>
        <v>0</v>
      </c>
      <c r="AA133" s="36">
        <f>IF(AP133="1",BG133,0)</f>
        <v>0</v>
      </c>
      <c r="AB133" s="36">
        <f>IF(AP133="1",BH133,0)</f>
        <v>0</v>
      </c>
      <c r="AC133" s="36">
        <f>IF(AP133="7",BG133,0)</f>
        <v>0</v>
      </c>
      <c r="AD133" s="36">
        <f>IF(AP133="7",BH133,0)</f>
        <v>0</v>
      </c>
      <c r="AE133" s="36">
        <f>IF(AP133="2",BG133,0)</f>
        <v>0</v>
      </c>
      <c r="AF133" s="36">
        <f>IF(AP133="2",BH133,0)</f>
        <v>0</v>
      </c>
      <c r="AG133" s="36">
        <f>IF(AP133="0",BI133,0)</f>
        <v>0</v>
      </c>
      <c r="AH133" s="59" t="s">
        <v>72</v>
      </c>
      <c r="AI133" s="55">
        <f>IF(AM133=0,K133,0)</f>
        <v>0</v>
      </c>
      <c r="AJ133" s="55">
        <f>IF(AM133=15,K133,0)</f>
        <v>0</v>
      </c>
      <c r="AK133" s="55">
        <f>IF(AM133=21,K133,0)</f>
        <v>0</v>
      </c>
      <c r="AM133" s="36">
        <v>21</v>
      </c>
      <c r="AN133" s="36">
        <f>H133*1</f>
        <v>0</v>
      </c>
      <c r="AO133" s="36">
        <f>H133*(1-1)</f>
        <v>0</v>
      </c>
      <c r="AP133" s="61" t="s">
        <v>121</v>
      </c>
      <c r="AU133" s="36">
        <f>AV133+AW133</f>
        <v>0</v>
      </c>
      <c r="AV133" s="36">
        <f>G133*AN133</f>
        <v>0</v>
      </c>
      <c r="AW133" s="36">
        <f>G133*AO133</f>
        <v>0</v>
      </c>
      <c r="AX133" s="62" t="s">
        <v>639</v>
      </c>
      <c r="AY133" s="62" t="s">
        <v>654</v>
      </c>
      <c r="AZ133" s="59" t="s">
        <v>663</v>
      </c>
      <c r="BB133" s="36">
        <f>AV133+AW133</f>
        <v>0</v>
      </c>
      <c r="BC133" s="36">
        <f>H133/(100-BD133)*100</f>
        <v>0</v>
      </c>
      <c r="BD133" s="36">
        <v>0</v>
      </c>
      <c r="BE133" s="36">
        <f>133</f>
        <v>133</v>
      </c>
      <c r="BG133" s="55">
        <f>G133*AN133</f>
        <v>0</v>
      </c>
      <c r="BH133" s="55">
        <f>G133*AO133</f>
        <v>0</v>
      </c>
      <c r="BI133" s="55">
        <f>G133*H133</f>
        <v>0</v>
      </c>
    </row>
    <row r="134" spans="1:61" ht="12.75">
      <c r="A134" s="44" t="s">
        <v>191</v>
      </c>
      <c r="B134" s="44" t="s">
        <v>342</v>
      </c>
      <c r="C134" s="160" t="s">
        <v>523</v>
      </c>
      <c r="D134" s="161"/>
      <c r="E134" s="161"/>
      <c r="F134" s="44" t="s">
        <v>598</v>
      </c>
      <c r="G134" s="54">
        <v>18</v>
      </c>
      <c r="H134" s="54">
        <v>0</v>
      </c>
      <c r="I134" s="54">
        <f>G134*AN134</f>
        <v>0</v>
      </c>
      <c r="J134" s="54">
        <f>G134*AO134</f>
        <v>0</v>
      </c>
      <c r="K134" s="54">
        <f>G134*H134</f>
        <v>0</v>
      </c>
      <c r="Y134" s="36">
        <f>IF(AP134="5",BI134,0)</f>
        <v>0</v>
      </c>
      <c r="AA134" s="36">
        <f>IF(AP134="1",BG134,0)</f>
        <v>0</v>
      </c>
      <c r="AB134" s="36">
        <f>IF(AP134="1",BH134,0)</f>
        <v>0</v>
      </c>
      <c r="AC134" s="36">
        <f>IF(AP134="7",BG134,0)</f>
        <v>0</v>
      </c>
      <c r="AD134" s="36">
        <f>IF(AP134="7",BH134,0)</f>
        <v>0</v>
      </c>
      <c r="AE134" s="36">
        <f>IF(AP134="2",BG134,0)</f>
        <v>0</v>
      </c>
      <c r="AF134" s="36">
        <f>IF(AP134="2",BH134,0)</f>
        <v>0</v>
      </c>
      <c r="AG134" s="36">
        <f>IF(AP134="0",BI134,0)</f>
        <v>0</v>
      </c>
      <c r="AH134" s="59" t="s">
        <v>72</v>
      </c>
      <c r="AI134" s="54">
        <f>IF(AM134=0,K134,0)</f>
        <v>0</v>
      </c>
      <c r="AJ134" s="54">
        <f>IF(AM134=15,K134,0)</f>
        <v>0</v>
      </c>
      <c r="AK134" s="54">
        <f>IF(AM134=21,K134,0)</f>
        <v>0</v>
      </c>
      <c r="AM134" s="36">
        <v>21</v>
      </c>
      <c r="AN134" s="36">
        <f>H134*0.694922333770682</f>
        <v>0</v>
      </c>
      <c r="AO134" s="36">
        <f>H134*(1-0.694922333770682)</f>
        <v>0</v>
      </c>
      <c r="AP134" s="60" t="s">
        <v>121</v>
      </c>
      <c r="AU134" s="36">
        <f>AV134+AW134</f>
        <v>0</v>
      </c>
      <c r="AV134" s="36">
        <f>G134*AN134</f>
        <v>0</v>
      </c>
      <c r="AW134" s="36">
        <f>G134*AO134</f>
        <v>0</v>
      </c>
      <c r="AX134" s="62" t="s">
        <v>639</v>
      </c>
      <c r="AY134" s="62" t="s">
        <v>654</v>
      </c>
      <c r="AZ134" s="59" t="s">
        <v>663</v>
      </c>
      <c r="BB134" s="36">
        <f>AV134+AW134</f>
        <v>0</v>
      </c>
      <c r="BC134" s="36">
        <f>H134/(100-BD134)*100</f>
        <v>0</v>
      </c>
      <c r="BD134" s="36">
        <v>0</v>
      </c>
      <c r="BE134" s="36">
        <f>134</f>
        <v>134</v>
      </c>
      <c r="BG134" s="54">
        <f>G134*AN134</f>
        <v>0</v>
      </c>
      <c r="BH134" s="54">
        <f>G134*AO134</f>
        <v>0</v>
      </c>
      <c r="BI134" s="54">
        <f>G134*H134</f>
        <v>0</v>
      </c>
    </row>
    <row r="135" spans="1:61" ht="12.75">
      <c r="A135" s="45" t="s">
        <v>192</v>
      </c>
      <c r="B135" s="45" t="s">
        <v>343</v>
      </c>
      <c r="C135" s="162" t="s">
        <v>524</v>
      </c>
      <c r="D135" s="163"/>
      <c r="E135" s="163"/>
      <c r="F135" s="45" t="s">
        <v>594</v>
      </c>
      <c r="G135" s="55">
        <v>21</v>
      </c>
      <c r="H135" s="55">
        <v>0</v>
      </c>
      <c r="I135" s="55">
        <f>G135*AN135</f>
        <v>0</v>
      </c>
      <c r="J135" s="55">
        <f>G135*AO135</f>
        <v>0</v>
      </c>
      <c r="K135" s="55">
        <f>G135*H135</f>
        <v>0</v>
      </c>
      <c r="Y135" s="36">
        <f>IF(AP135="5",BI135,0)</f>
        <v>0</v>
      </c>
      <c r="AA135" s="36">
        <f>IF(AP135="1",BG135,0)</f>
        <v>0</v>
      </c>
      <c r="AB135" s="36">
        <f>IF(AP135="1",BH135,0)</f>
        <v>0</v>
      </c>
      <c r="AC135" s="36">
        <f>IF(AP135="7",BG135,0)</f>
        <v>0</v>
      </c>
      <c r="AD135" s="36">
        <f>IF(AP135="7",BH135,0)</f>
        <v>0</v>
      </c>
      <c r="AE135" s="36">
        <f>IF(AP135="2",BG135,0)</f>
        <v>0</v>
      </c>
      <c r="AF135" s="36">
        <f>IF(AP135="2",BH135,0)</f>
        <v>0</v>
      </c>
      <c r="AG135" s="36">
        <f>IF(AP135="0",BI135,0)</f>
        <v>0</v>
      </c>
      <c r="AH135" s="59" t="s">
        <v>72</v>
      </c>
      <c r="AI135" s="55">
        <f>IF(AM135=0,K135,0)</f>
        <v>0</v>
      </c>
      <c r="AJ135" s="55">
        <f>IF(AM135=15,K135,0)</f>
        <v>0</v>
      </c>
      <c r="AK135" s="55">
        <f>IF(AM135=21,K135,0)</f>
        <v>0</v>
      </c>
      <c r="AM135" s="36">
        <v>21</v>
      </c>
      <c r="AN135" s="36">
        <f>H135*1</f>
        <v>0</v>
      </c>
      <c r="AO135" s="36">
        <f>H135*(1-1)</f>
        <v>0</v>
      </c>
      <c r="AP135" s="61" t="s">
        <v>121</v>
      </c>
      <c r="AU135" s="36">
        <f>AV135+AW135</f>
        <v>0</v>
      </c>
      <c r="AV135" s="36">
        <f>G135*AN135</f>
        <v>0</v>
      </c>
      <c r="AW135" s="36">
        <f>G135*AO135</f>
        <v>0</v>
      </c>
      <c r="AX135" s="62" t="s">
        <v>639</v>
      </c>
      <c r="AY135" s="62" t="s">
        <v>654</v>
      </c>
      <c r="AZ135" s="59" t="s">
        <v>663</v>
      </c>
      <c r="BB135" s="36">
        <f>AV135+AW135</f>
        <v>0</v>
      </c>
      <c r="BC135" s="36">
        <f>H135/(100-BD135)*100</f>
        <v>0</v>
      </c>
      <c r="BD135" s="36">
        <v>0</v>
      </c>
      <c r="BE135" s="36">
        <f>135</f>
        <v>135</v>
      </c>
      <c r="BG135" s="55">
        <f>G135*AN135</f>
        <v>0</v>
      </c>
      <c r="BH135" s="55">
        <f>G135*AO135</f>
        <v>0</v>
      </c>
      <c r="BI135" s="55">
        <f>G135*H135</f>
        <v>0</v>
      </c>
    </row>
    <row r="136" spans="1:61" ht="12.75">
      <c r="A136" s="44" t="s">
        <v>193</v>
      </c>
      <c r="B136" s="44" t="s">
        <v>344</v>
      </c>
      <c r="C136" s="160" t="s">
        <v>525</v>
      </c>
      <c r="D136" s="161"/>
      <c r="E136" s="161"/>
      <c r="F136" s="44" t="s">
        <v>594</v>
      </c>
      <c r="G136" s="54">
        <v>21</v>
      </c>
      <c r="H136" s="54">
        <v>0</v>
      </c>
      <c r="I136" s="54">
        <f>G136*AN136</f>
        <v>0</v>
      </c>
      <c r="J136" s="54">
        <f>G136*AO136</f>
        <v>0</v>
      </c>
      <c r="K136" s="54">
        <f>G136*H136</f>
        <v>0</v>
      </c>
      <c r="Y136" s="36">
        <f>IF(AP136="5",BI136,0)</f>
        <v>0</v>
      </c>
      <c r="AA136" s="36">
        <f>IF(AP136="1",BG136,0)</f>
        <v>0</v>
      </c>
      <c r="AB136" s="36">
        <f>IF(AP136="1",BH136,0)</f>
        <v>0</v>
      </c>
      <c r="AC136" s="36">
        <f>IF(AP136="7",BG136,0)</f>
        <v>0</v>
      </c>
      <c r="AD136" s="36">
        <f>IF(AP136="7",BH136,0)</f>
        <v>0</v>
      </c>
      <c r="AE136" s="36">
        <f>IF(AP136="2",BG136,0)</f>
        <v>0</v>
      </c>
      <c r="AF136" s="36">
        <f>IF(AP136="2",BH136,0)</f>
        <v>0</v>
      </c>
      <c r="AG136" s="36">
        <f>IF(AP136="0",BI136,0)</f>
        <v>0</v>
      </c>
      <c r="AH136" s="59" t="s">
        <v>72</v>
      </c>
      <c r="AI136" s="54">
        <f>IF(AM136=0,K136,0)</f>
        <v>0</v>
      </c>
      <c r="AJ136" s="54">
        <f>IF(AM136=15,K136,0)</f>
        <v>0</v>
      </c>
      <c r="AK136" s="54">
        <f>IF(AM136=21,K136,0)</f>
        <v>0</v>
      </c>
      <c r="AM136" s="36">
        <v>21</v>
      </c>
      <c r="AN136" s="36">
        <f>H136*0.89857619047619</f>
        <v>0</v>
      </c>
      <c r="AO136" s="36">
        <f>H136*(1-0.89857619047619)</f>
        <v>0</v>
      </c>
      <c r="AP136" s="60" t="s">
        <v>121</v>
      </c>
      <c r="AU136" s="36">
        <f>AV136+AW136</f>
        <v>0</v>
      </c>
      <c r="AV136" s="36">
        <f>G136*AN136</f>
        <v>0</v>
      </c>
      <c r="AW136" s="36">
        <f>G136*AO136</f>
        <v>0</v>
      </c>
      <c r="AX136" s="62" t="s">
        <v>639</v>
      </c>
      <c r="AY136" s="62" t="s">
        <v>654</v>
      </c>
      <c r="AZ136" s="59" t="s">
        <v>663</v>
      </c>
      <c r="BB136" s="36">
        <f>AV136+AW136</f>
        <v>0</v>
      </c>
      <c r="BC136" s="36">
        <f>H136/(100-BD136)*100</f>
        <v>0</v>
      </c>
      <c r="BD136" s="36">
        <v>0</v>
      </c>
      <c r="BE136" s="36">
        <f>136</f>
        <v>136</v>
      </c>
      <c r="BG136" s="54">
        <f>G136*AN136</f>
        <v>0</v>
      </c>
      <c r="BH136" s="54">
        <f>G136*AO136</f>
        <v>0</v>
      </c>
      <c r="BI136" s="54">
        <f>G136*H136</f>
        <v>0</v>
      </c>
    </row>
    <row r="137" spans="3:5" ht="12.75">
      <c r="C137" s="164" t="s">
        <v>526</v>
      </c>
      <c r="D137" s="165"/>
      <c r="E137" s="165"/>
    </row>
    <row r="138" spans="1:61" ht="12.75">
      <c r="A138" s="44" t="s">
        <v>194</v>
      </c>
      <c r="B138" s="44" t="s">
        <v>345</v>
      </c>
      <c r="C138" s="160" t="s">
        <v>527</v>
      </c>
      <c r="D138" s="161"/>
      <c r="E138" s="161"/>
      <c r="F138" s="44" t="s">
        <v>594</v>
      </c>
      <c r="G138" s="54">
        <v>3</v>
      </c>
      <c r="H138" s="54">
        <v>0</v>
      </c>
      <c r="I138" s="54">
        <f>G138*AN138</f>
        <v>0</v>
      </c>
      <c r="J138" s="54">
        <f>G138*AO138</f>
        <v>0</v>
      </c>
      <c r="K138" s="54">
        <f>G138*H138</f>
        <v>0</v>
      </c>
      <c r="Y138" s="36">
        <f>IF(AP138="5",BI138,0)</f>
        <v>0</v>
      </c>
      <c r="AA138" s="36">
        <f>IF(AP138="1",BG138,0)</f>
        <v>0</v>
      </c>
      <c r="AB138" s="36">
        <f>IF(AP138="1",BH138,0)</f>
        <v>0</v>
      </c>
      <c r="AC138" s="36">
        <f>IF(AP138="7",BG138,0)</f>
        <v>0</v>
      </c>
      <c r="AD138" s="36">
        <f>IF(AP138="7",BH138,0)</f>
        <v>0</v>
      </c>
      <c r="AE138" s="36">
        <f>IF(AP138="2",BG138,0)</f>
        <v>0</v>
      </c>
      <c r="AF138" s="36">
        <f>IF(AP138="2",BH138,0)</f>
        <v>0</v>
      </c>
      <c r="AG138" s="36">
        <f>IF(AP138="0",BI138,0)</f>
        <v>0</v>
      </c>
      <c r="AH138" s="59" t="s">
        <v>72</v>
      </c>
      <c r="AI138" s="54">
        <f>IF(AM138=0,K138,0)</f>
        <v>0</v>
      </c>
      <c r="AJ138" s="54">
        <f>IF(AM138=15,K138,0)</f>
        <v>0</v>
      </c>
      <c r="AK138" s="54">
        <f>IF(AM138=21,K138,0)</f>
        <v>0</v>
      </c>
      <c r="AM138" s="36">
        <v>21</v>
      </c>
      <c r="AN138" s="36">
        <f>H138*0.900078509116268</f>
        <v>0</v>
      </c>
      <c r="AO138" s="36">
        <f>H138*(1-0.900078509116268)</f>
        <v>0</v>
      </c>
      <c r="AP138" s="60" t="s">
        <v>121</v>
      </c>
      <c r="AU138" s="36">
        <f>AV138+AW138</f>
        <v>0</v>
      </c>
      <c r="AV138" s="36">
        <f>G138*AN138</f>
        <v>0</v>
      </c>
      <c r="AW138" s="36">
        <f>G138*AO138</f>
        <v>0</v>
      </c>
      <c r="AX138" s="62" t="s">
        <v>639</v>
      </c>
      <c r="AY138" s="62" t="s">
        <v>654</v>
      </c>
      <c r="AZ138" s="59" t="s">
        <v>663</v>
      </c>
      <c r="BB138" s="36">
        <f>AV138+AW138</f>
        <v>0</v>
      </c>
      <c r="BC138" s="36">
        <f>H138/(100-BD138)*100</f>
        <v>0</v>
      </c>
      <c r="BD138" s="36">
        <v>0</v>
      </c>
      <c r="BE138" s="36">
        <f>138</f>
        <v>138</v>
      </c>
      <c r="BG138" s="54">
        <f>G138*AN138</f>
        <v>0</v>
      </c>
      <c r="BH138" s="54">
        <f>G138*AO138</f>
        <v>0</v>
      </c>
      <c r="BI138" s="54">
        <f>G138*H138</f>
        <v>0</v>
      </c>
    </row>
    <row r="139" spans="3:5" ht="12.75">
      <c r="C139" s="164" t="s">
        <v>526</v>
      </c>
      <c r="D139" s="165"/>
      <c r="E139" s="165"/>
    </row>
    <row r="140" spans="1:61" ht="12.75">
      <c r="A140" s="44" t="s">
        <v>195</v>
      </c>
      <c r="B140" s="44" t="s">
        <v>346</v>
      </c>
      <c r="C140" s="160" t="s">
        <v>528</v>
      </c>
      <c r="D140" s="161"/>
      <c r="E140" s="161"/>
      <c r="F140" s="44" t="s">
        <v>598</v>
      </c>
      <c r="G140" s="54">
        <v>16</v>
      </c>
      <c r="H140" s="54">
        <v>0</v>
      </c>
      <c r="I140" s="54">
        <f aca="true" t="shared" si="88" ref="I140:I153">G140*AN140</f>
        <v>0</v>
      </c>
      <c r="J140" s="54">
        <f aca="true" t="shared" si="89" ref="J140:J153">G140*AO140</f>
        <v>0</v>
      </c>
      <c r="K140" s="54">
        <f aca="true" t="shared" si="90" ref="K140:K153">G140*H140</f>
        <v>0</v>
      </c>
      <c r="Y140" s="36">
        <f aca="true" t="shared" si="91" ref="Y140:Y153">IF(AP140="5",BI140,0)</f>
        <v>0</v>
      </c>
      <c r="AA140" s="36">
        <f aca="true" t="shared" si="92" ref="AA140:AA153">IF(AP140="1",BG140,0)</f>
        <v>0</v>
      </c>
      <c r="AB140" s="36">
        <f aca="true" t="shared" si="93" ref="AB140:AB153">IF(AP140="1",BH140,0)</f>
        <v>0</v>
      </c>
      <c r="AC140" s="36">
        <f aca="true" t="shared" si="94" ref="AC140:AC153">IF(AP140="7",BG140,0)</f>
        <v>0</v>
      </c>
      <c r="AD140" s="36">
        <f aca="true" t="shared" si="95" ref="AD140:AD153">IF(AP140="7",BH140,0)</f>
        <v>0</v>
      </c>
      <c r="AE140" s="36">
        <f aca="true" t="shared" si="96" ref="AE140:AE153">IF(AP140="2",BG140,0)</f>
        <v>0</v>
      </c>
      <c r="AF140" s="36">
        <f aca="true" t="shared" si="97" ref="AF140:AF153">IF(AP140="2",BH140,0)</f>
        <v>0</v>
      </c>
      <c r="AG140" s="36">
        <f aca="true" t="shared" si="98" ref="AG140:AG153">IF(AP140="0",BI140,0)</f>
        <v>0</v>
      </c>
      <c r="AH140" s="59" t="s">
        <v>72</v>
      </c>
      <c r="AI140" s="54">
        <f aca="true" t="shared" si="99" ref="AI140:AI153">IF(AM140=0,K140,0)</f>
        <v>0</v>
      </c>
      <c r="AJ140" s="54">
        <f aca="true" t="shared" si="100" ref="AJ140:AJ153">IF(AM140=15,K140,0)</f>
        <v>0</v>
      </c>
      <c r="AK140" s="54">
        <f aca="true" t="shared" si="101" ref="AK140:AK153">IF(AM140=21,K140,0)</f>
        <v>0</v>
      </c>
      <c r="AM140" s="36">
        <v>21</v>
      </c>
      <c r="AN140" s="36">
        <f>H140*0.498152424942263</f>
        <v>0</v>
      </c>
      <c r="AO140" s="36">
        <f>H140*(1-0.498152424942263)</f>
        <v>0</v>
      </c>
      <c r="AP140" s="60" t="s">
        <v>121</v>
      </c>
      <c r="AU140" s="36">
        <f aca="true" t="shared" si="102" ref="AU140:AU153">AV140+AW140</f>
        <v>0</v>
      </c>
      <c r="AV140" s="36">
        <f aca="true" t="shared" si="103" ref="AV140:AV153">G140*AN140</f>
        <v>0</v>
      </c>
      <c r="AW140" s="36">
        <f aca="true" t="shared" si="104" ref="AW140:AW153">G140*AO140</f>
        <v>0</v>
      </c>
      <c r="AX140" s="62" t="s">
        <v>639</v>
      </c>
      <c r="AY140" s="62" t="s">
        <v>654</v>
      </c>
      <c r="AZ140" s="59" t="s">
        <v>663</v>
      </c>
      <c r="BB140" s="36">
        <f aca="true" t="shared" si="105" ref="BB140:BB153">AV140+AW140</f>
        <v>0</v>
      </c>
      <c r="BC140" s="36">
        <f aca="true" t="shared" si="106" ref="BC140:BC153">H140/(100-BD140)*100</f>
        <v>0</v>
      </c>
      <c r="BD140" s="36">
        <v>0</v>
      </c>
      <c r="BE140" s="36">
        <f>140</f>
        <v>140</v>
      </c>
      <c r="BG140" s="54">
        <f aca="true" t="shared" si="107" ref="BG140:BG153">G140*AN140</f>
        <v>0</v>
      </c>
      <c r="BH140" s="54">
        <f aca="true" t="shared" si="108" ref="BH140:BH153">G140*AO140</f>
        <v>0</v>
      </c>
      <c r="BI140" s="54">
        <f aca="true" t="shared" si="109" ref="BI140:BI153">G140*H140</f>
        <v>0</v>
      </c>
    </row>
    <row r="141" spans="1:61" ht="12.75">
      <c r="A141" s="44" t="s">
        <v>196</v>
      </c>
      <c r="B141" s="44" t="s">
        <v>347</v>
      </c>
      <c r="C141" s="160" t="s">
        <v>529</v>
      </c>
      <c r="D141" s="161"/>
      <c r="E141" s="161"/>
      <c r="F141" s="44" t="s">
        <v>598</v>
      </c>
      <c r="G141" s="54">
        <v>16</v>
      </c>
      <c r="H141" s="54">
        <v>0</v>
      </c>
      <c r="I141" s="54">
        <f t="shared" si="88"/>
        <v>0</v>
      </c>
      <c r="J141" s="54">
        <f t="shared" si="89"/>
        <v>0</v>
      </c>
      <c r="K141" s="54">
        <f t="shared" si="90"/>
        <v>0</v>
      </c>
      <c r="Y141" s="36">
        <f t="shared" si="91"/>
        <v>0</v>
      </c>
      <c r="AA141" s="36">
        <f t="shared" si="92"/>
        <v>0</v>
      </c>
      <c r="AB141" s="36">
        <f t="shared" si="93"/>
        <v>0</v>
      </c>
      <c r="AC141" s="36">
        <f t="shared" si="94"/>
        <v>0</v>
      </c>
      <c r="AD141" s="36">
        <f t="shared" si="95"/>
        <v>0</v>
      </c>
      <c r="AE141" s="36">
        <f t="shared" si="96"/>
        <v>0</v>
      </c>
      <c r="AF141" s="36">
        <f t="shared" si="97"/>
        <v>0</v>
      </c>
      <c r="AG141" s="36">
        <f t="shared" si="98"/>
        <v>0</v>
      </c>
      <c r="AH141" s="59" t="s">
        <v>72</v>
      </c>
      <c r="AI141" s="54">
        <f t="shared" si="99"/>
        <v>0</v>
      </c>
      <c r="AJ141" s="54">
        <f t="shared" si="100"/>
        <v>0</v>
      </c>
      <c r="AK141" s="54">
        <f t="shared" si="101"/>
        <v>0</v>
      </c>
      <c r="AM141" s="36">
        <v>21</v>
      </c>
      <c r="AN141" s="36">
        <f>H141*0</f>
        <v>0</v>
      </c>
      <c r="AO141" s="36">
        <f>H141*(1-0)</f>
        <v>0</v>
      </c>
      <c r="AP141" s="60" t="s">
        <v>121</v>
      </c>
      <c r="AU141" s="36">
        <f t="shared" si="102"/>
        <v>0</v>
      </c>
      <c r="AV141" s="36">
        <f t="shared" si="103"/>
        <v>0</v>
      </c>
      <c r="AW141" s="36">
        <f t="shared" si="104"/>
        <v>0</v>
      </c>
      <c r="AX141" s="62" t="s">
        <v>639</v>
      </c>
      <c r="AY141" s="62" t="s">
        <v>654</v>
      </c>
      <c r="AZ141" s="59" t="s">
        <v>663</v>
      </c>
      <c r="BB141" s="36">
        <f t="shared" si="105"/>
        <v>0</v>
      </c>
      <c r="BC141" s="36">
        <f t="shared" si="106"/>
        <v>0</v>
      </c>
      <c r="BD141" s="36">
        <v>0</v>
      </c>
      <c r="BE141" s="36">
        <f>141</f>
        <v>141</v>
      </c>
      <c r="BG141" s="54">
        <f t="shared" si="107"/>
        <v>0</v>
      </c>
      <c r="BH141" s="54">
        <f t="shared" si="108"/>
        <v>0</v>
      </c>
      <c r="BI141" s="54">
        <f t="shared" si="109"/>
        <v>0</v>
      </c>
    </row>
    <row r="142" spans="1:61" ht="12.75">
      <c r="A142" s="44" t="s">
        <v>197</v>
      </c>
      <c r="B142" s="44" t="s">
        <v>348</v>
      </c>
      <c r="C142" s="160" t="s">
        <v>530</v>
      </c>
      <c r="D142" s="161"/>
      <c r="E142" s="161"/>
      <c r="F142" s="44" t="s">
        <v>598</v>
      </c>
      <c r="G142" s="54">
        <v>12</v>
      </c>
      <c r="H142" s="54">
        <v>0</v>
      </c>
      <c r="I142" s="54">
        <f t="shared" si="88"/>
        <v>0</v>
      </c>
      <c r="J142" s="54">
        <f t="shared" si="89"/>
        <v>0</v>
      </c>
      <c r="K142" s="54">
        <f t="shared" si="90"/>
        <v>0</v>
      </c>
      <c r="Y142" s="36">
        <f t="shared" si="91"/>
        <v>0</v>
      </c>
      <c r="AA142" s="36">
        <f t="shared" si="92"/>
        <v>0</v>
      </c>
      <c r="AB142" s="36">
        <f t="shared" si="93"/>
        <v>0</v>
      </c>
      <c r="AC142" s="36">
        <f t="shared" si="94"/>
        <v>0</v>
      </c>
      <c r="AD142" s="36">
        <f t="shared" si="95"/>
        <v>0</v>
      </c>
      <c r="AE142" s="36">
        <f t="shared" si="96"/>
        <v>0</v>
      </c>
      <c r="AF142" s="36">
        <f t="shared" si="97"/>
        <v>0</v>
      </c>
      <c r="AG142" s="36">
        <f t="shared" si="98"/>
        <v>0</v>
      </c>
      <c r="AH142" s="59" t="s">
        <v>72</v>
      </c>
      <c r="AI142" s="54">
        <f t="shared" si="99"/>
        <v>0</v>
      </c>
      <c r="AJ142" s="54">
        <f t="shared" si="100"/>
        <v>0</v>
      </c>
      <c r="AK142" s="54">
        <f t="shared" si="101"/>
        <v>0</v>
      </c>
      <c r="AM142" s="36">
        <v>21</v>
      </c>
      <c r="AN142" s="36">
        <f>H142*0.218894778301446</f>
        <v>0</v>
      </c>
      <c r="AO142" s="36">
        <f>H142*(1-0.218894778301446)</f>
        <v>0</v>
      </c>
      <c r="AP142" s="60" t="s">
        <v>121</v>
      </c>
      <c r="AU142" s="36">
        <f t="shared" si="102"/>
        <v>0</v>
      </c>
      <c r="AV142" s="36">
        <f t="shared" si="103"/>
        <v>0</v>
      </c>
      <c r="AW142" s="36">
        <f t="shared" si="104"/>
        <v>0</v>
      </c>
      <c r="AX142" s="62" t="s">
        <v>639</v>
      </c>
      <c r="AY142" s="62" t="s">
        <v>654</v>
      </c>
      <c r="AZ142" s="59" t="s">
        <v>663</v>
      </c>
      <c r="BB142" s="36">
        <f t="shared" si="105"/>
        <v>0</v>
      </c>
      <c r="BC142" s="36">
        <f t="shared" si="106"/>
        <v>0</v>
      </c>
      <c r="BD142" s="36">
        <v>0</v>
      </c>
      <c r="BE142" s="36">
        <f>142</f>
        <v>142</v>
      </c>
      <c r="BG142" s="54">
        <f t="shared" si="107"/>
        <v>0</v>
      </c>
      <c r="BH142" s="54">
        <f t="shared" si="108"/>
        <v>0</v>
      </c>
      <c r="BI142" s="54">
        <f t="shared" si="109"/>
        <v>0</v>
      </c>
    </row>
    <row r="143" spans="1:61" ht="12.75">
      <c r="A143" s="45" t="s">
        <v>198</v>
      </c>
      <c r="B143" s="45" t="s">
        <v>349</v>
      </c>
      <c r="C143" s="162" t="s">
        <v>531</v>
      </c>
      <c r="D143" s="163"/>
      <c r="E143" s="163"/>
      <c r="F143" s="45" t="s">
        <v>594</v>
      </c>
      <c r="G143" s="55">
        <v>12</v>
      </c>
      <c r="H143" s="55">
        <v>0</v>
      </c>
      <c r="I143" s="55">
        <f t="shared" si="88"/>
        <v>0</v>
      </c>
      <c r="J143" s="55">
        <f t="shared" si="89"/>
        <v>0</v>
      </c>
      <c r="K143" s="55">
        <f t="shared" si="90"/>
        <v>0</v>
      </c>
      <c r="Y143" s="36">
        <f t="shared" si="91"/>
        <v>0</v>
      </c>
      <c r="AA143" s="36">
        <f t="shared" si="92"/>
        <v>0</v>
      </c>
      <c r="AB143" s="36">
        <f t="shared" si="93"/>
        <v>0</v>
      </c>
      <c r="AC143" s="36">
        <f t="shared" si="94"/>
        <v>0</v>
      </c>
      <c r="AD143" s="36">
        <f t="shared" si="95"/>
        <v>0</v>
      </c>
      <c r="AE143" s="36">
        <f t="shared" si="96"/>
        <v>0</v>
      </c>
      <c r="AF143" s="36">
        <f t="shared" si="97"/>
        <v>0</v>
      </c>
      <c r="AG143" s="36">
        <f t="shared" si="98"/>
        <v>0</v>
      </c>
      <c r="AH143" s="59" t="s">
        <v>72</v>
      </c>
      <c r="AI143" s="55">
        <f t="shared" si="99"/>
        <v>0</v>
      </c>
      <c r="AJ143" s="55">
        <f t="shared" si="100"/>
        <v>0</v>
      </c>
      <c r="AK143" s="55">
        <f t="shared" si="101"/>
        <v>0</v>
      </c>
      <c r="AM143" s="36">
        <v>21</v>
      </c>
      <c r="AN143" s="36">
        <f>H143*1</f>
        <v>0</v>
      </c>
      <c r="AO143" s="36">
        <f>H143*(1-1)</f>
        <v>0</v>
      </c>
      <c r="AP143" s="61" t="s">
        <v>121</v>
      </c>
      <c r="AU143" s="36">
        <f t="shared" si="102"/>
        <v>0</v>
      </c>
      <c r="AV143" s="36">
        <f t="shared" si="103"/>
        <v>0</v>
      </c>
      <c r="AW143" s="36">
        <f t="shared" si="104"/>
        <v>0</v>
      </c>
      <c r="AX143" s="62" t="s">
        <v>639</v>
      </c>
      <c r="AY143" s="62" t="s">
        <v>654</v>
      </c>
      <c r="AZ143" s="59" t="s">
        <v>663</v>
      </c>
      <c r="BB143" s="36">
        <f t="shared" si="105"/>
        <v>0</v>
      </c>
      <c r="BC143" s="36">
        <f t="shared" si="106"/>
        <v>0</v>
      </c>
      <c r="BD143" s="36">
        <v>0</v>
      </c>
      <c r="BE143" s="36">
        <f>143</f>
        <v>143</v>
      </c>
      <c r="BG143" s="55">
        <f t="shared" si="107"/>
        <v>0</v>
      </c>
      <c r="BH143" s="55">
        <f t="shared" si="108"/>
        <v>0</v>
      </c>
      <c r="BI143" s="55">
        <f t="shared" si="109"/>
        <v>0</v>
      </c>
    </row>
    <row r="144" spans="1:61" ht="12.75">
      <c r="A144" s="45" t="s">
        <v>199</v>
      </c>
      <c r="B144" s="45" t="s">
        <v>349</v>
      </c>
      <c r="C144" s="162" t="s">
        <v>531</v>
      </c>
      <c r="D144" s="163"/>
      <c r="E144" s="163"/>
      <c r="F144" s="45" t="s">
        <v>594</v>
      </c>
      <c r="G144" s="55">
        <v>4</v>
      </c>
      <c r="H144" s="55">
        <v>0</v>
      </c>
      <c r="I144" s="55">
        <f t="shared" si="88"/>
        <v>0</v>
      </c>
      <c r="J144" s="55">
        <f t="shared" si="89"/>
        <v>0</v>
      </c>
      <c r="K144" s="55">
        <f t="shared" si="90"/>
        <v>0</v>
      </c>
      <c r="Y144" s="36">
        <f t="shared" si="91"/>
        <v>0</v>
      </c>
      <c r="AA144" s="36">
        <f t="shared" si="92"/>
        <v>0</v>
      </c>
      <c r="AB144" s="36">
        <f t="shared" si="93"/>
        <v>0</v>
      </c>
      <c r="AC144" s="36">
        <f t="shared" si="94"/>
        <v>0</v>
      </c>
      <c r="AD144" s="36">
        <f t="shared" si="95"/>
        <v>0</v>
      </c>
      <c r="AE144" s="36">
        <f t="shared" si="96"/>
        <v>0</v>
      </c>
      <c r="AF144" s="36">
        <f t="shared" si="97"/>
        <v>0</v>
      </c>
      <c r="AG144" s="36">
        <f t="shared" si="98"/>
        <v>0</v>
      </c>
      <c r="AH144" s="59" t="s">
        <v>72</v>
      </c>
      <c r="AI144" s="55">
        <f t="shared" si="99"/>
        <v>0</v>
      </c>
      <c r="AJ144" s="55">
        <f t="shared" si="100"/>
        <v>0</v>
      </c>
      <c r="AK144" s="55">
        <f t="shared" si="101"/>
        <v>0</v>
      </c>
      <c r="AM144" s="36">
        <v>21</v>
      </c>
      <c r="AN144" s="36">
        <f>H144*1</f>
        <v>0</v>
      </c>
      <c r="AO144" s="36">
        <f>H144*(1-1)</f>
        <v>0</v>
      </c>
      <c r="AP144" s="61" t="s">
        <v>121</v>
      </c>
      <c r="AU144" s="36">
        <f t="shared" si="102"/>
        <v>0</v>
      </c>
      <c r="AV144" s="36">
        <f t="shared" si="103"/>
        <v>0</v>
      </c>
      <c r="AW144" s="36">
        <f t="shared" si="104"/>
        <v>0</v>
      </c>
      <c r="AX144" s="62" t="s">
        <v>639</v>
      </c>
      <c r="AY144" s="62" t="s">
        <v>654</v>
      </c>
      <c r="AZ144" s="59" t="s">
        <v>663</v>
      </c>
      <c r="BB144" s="36">
        <f t="shared" si="105"/>
        <v>0</v>
      </c>
      <c r="BC144" s="36">
        <f t="shared" si="106"/>
        <v>0</v>
      </c>
      <c r="BD144" s="36">
        <v>0</v>
      </c>
      <c r="BE144" s="36">
        <f>144</f>
        <v>144</v>
      </c>
      <c r="BG144" s="55">
        <f t="shared" si="107"/>
        <v>0</v>
      </c>
      <c r="BH144" s="55">
        <f t="shared" si="108"/>
        <v>0</v>
      </c>
      <c r="BI144" s="55">
        <f t="shared" si="109"/>
        <v>0</v>
      </c>
    </row>
    <row r="145" spans="1:61" ht="12.75">
      <c r="A145" s="44" t="s">
        <v>200</v>
      </c>
      <c r="B145" s="44" t="s">
        <v>350</v>
      </c>
      <c r="C145" s="160" t="s">
        <v>532</v>
      </c>
      <c r="D145" s="161"/>
      <c r="E145" s="161"/>
      <c r="F145" s="44" t="s">
        <v>598</v>
      </c>
      <c r="G145" s="54">
        <v>4</v>
      </c>
      <c r="H145" s="54">
        <v>0</v>
      </c>
      <c r="I145" s="54">
        <f t="shared" si="88"/>
        <v>0</v>
      </c>
      <c r="J145" s="54">
        <f t="shared" si="89"/>
        <v>0</v>
      </c>
      <c r="K145" s="54">
        <f t="shared" si="90"/>
        <v>0</v>
      </c>
      <c r="Y145" s="36">
        <f t="shared" si="91"/>
        <v>0</v>
      </c>
      <c r="AA145" s="36">
        <f t="shared" si="92"/>
        <v>0</v>
      </c>
      <c r="AB145" s="36">
        <f t="shared" si="93"/>
        <v>0</v>
      </c>
      <c r="AC145" s="36">
        <f t="shared" si="94"/>
        <v>0</v>
      </c>
      <c r="AD145" s="36">
        <f t="shared" si="95"/>
        <v>0</v>
      </c>
      <c r="AE145" s="36">
        <f t="shared" si="96"/>
        <v>0</v>
      </c>
      <c r="AF145" s="36">
        <f t="shared" si="97"/>
        <v>0</v>
      </c>
      <c r="AG145" s="36">
        <f t="shared" si="98"/>
        <v>0</v>
      </c>
      <c r="AH145" s="59" t="s">
        <v>72</v>
      </c>
      <c r="AI145" s="54">
        <f t="shared" si="99"/>
        <v>0</v>
      </c>
      <c r="AJ145" s="54">
        <f t="shared" si="100"/>
        <v>0</v>
      </c>
      <c r="AK145" s="54">
        <f t="shared" si="101"/>
        <v>0</v>
      </c>
      <c r="AM145" s="36">
        <v>21</v>
      </c>
      <c r="AN145" s="36">
        <f>H145*0.92103726082578</f>
        <v>0</v>
      </c>
      <c r="AO145" s="36">
        <f>H145*(1-0.92103726082578)</f>
        <v>0</v>
      </c>
      <c r="AP145" s="60" t="s">
        <v>121</v>
      </c>
      <c r="AU145" s="36">
        <f t="shared" si="102"/>
        <v>0</v>
      </c>
      <c r="AV145" s="36">
        <f t="shared" si="103"/>
        <v>0</v>
      </c>
      <c r="AW145" s="36">
        <f t="shared" si="104"/>
        <v>0</v>
      </c>
      <c r="AX145" s="62" t="s">
        <v>639</v>
      </c>
      <c r="AY145" s="62" t="s">
        <v>654</v>
      </c>
      <c r="AZ145" s="59" t="s">
        <v>663</v>
      </c>
      <c r="BB145" s="36">
        <f t="shared" si="105"/>
        <v>0</v>
      </c>
      <c r="BC145" s="36">
        <f t="shared" si="106"/>
        <v>0</v>
      </c>
      <c r="BD145" s="36">
        <v>0</v>
      </c>
      <c r="BE145" s="36">
        <f>145</f>
        <v>145</v>
      </c>
      <c r="BG145" s="54">
        <f t="shared" si="107"/>
        <v>0</v>
      </c>
      <c r="BH145" s="54">
        <f t="shared" si="108"/>
        <v>0</v>
      </c>
      <c r="BI145" s="54">
        <f t="shared" si="109"/>
        <v>0</v>
      </c>
    </row>
    <row r="146" spans="1:61" ht="12.75">
      <c r="A146" s="44" t="s">
        <v>201</v>
      </c>
      <c r="B146" s="44" t="s">
        <v>351</v>
      </c>
      <c r="C146" s="160" t="s">
        <v>533</v>
      </c>
      <c r="D146" s="161"/>
      <c r="E146" s="161"/>
      <c r="F146" s="44" t="s">
        <v>594</v>
      </c>
      <c r="G146" s="54">
        <v>3</v>
      </c>
      <c r="H146" s="54">
        <v>0</v>
      </c>
      <c r="I146" s="54">
        <f t="shared" si="88"/>
        <v>0</v>
      </c>
      <c r="J146" s="54">
        <f t="shared" si="89"/>
        <v>0</v>
      </c>
      <c r="K146" s="54">
        <f t="shared" si="90"/>
        <v>0</v>
      </c>
      <c r="Y146" s="36">
        <f t="shared" si="91"/>
        <v>0</v>
      </c>
      <c r="AA146" s="36">
        <f t="shared" si="92"/>
        <v>0</v>
      </c>
      <c r="AB146" s="36">
        <f t="shared" si="93"/>
        <v>0</v>
      </c>
      <c r="AC146" s="36">
        <f t="shared" si="94"/>
        <v>0</v>
      </c>
      <c r="AD146" s="36">
        <f t="shared" si="95"/>
        <v>0</v>
      </c>
      <c r="AE146" s="36">
        <f t="shared" si="96"/>
        <v>0</v>
      </c>
      <c r="AF146" s="36">
        <f t="shared" si="97"/>
        <v>0</v>
      </c>
      <c r="AG146" s="36">
        <f t="shared" si="98"/>
        <v>0</v>
      </c>
      <c r="AH146" s="59" t="s">
        <v>72</v>
      </c>
      <c r="AI146" s="54">
        <f t="shared" si="99"/>
        <v>0</v>
      </c>
      <c r="AJ146" s="54">
        <f t="shared" si="100"/>
        <v>0</v>
      </c>
      <c r="AK146" s="54">
        <f t="shared" si="101"/>
        <v>0</v>
      </c>
      <c r="AM146" s="36">
        <v>21</v>
      </c>
      <c r="AN146" s="36">
        <f>H146*0.180068493150685</f>
        <v>0</v>
      </c>
      <c r="AO146" s="36">
        <f>H146*(1-0.180068493150685)</f>
        <v>0</v>
      </c>
      <c r="AP146" s="60" t="s">
        <v>121</v>
      </c>
      <c r="AU146" s="36">
        <f t="shared" si="102"/>
        <v>0</v>
      </c>
      <c r="AV146" s="36">
        <f t="shared" si="103"/>
        <v>0</v>
      </c>
      <c r="AW146" s="36">
        <f t="shared" si="104"/>
        <v>0</v>
      </c>
      <c r="AX146" s="62" t="s">
        <v>639</v>
      </c>
      <c r="AY146" s="62" t="s">
        <v>654</v>
      </c>
      <c r="AZ146" s="59" t="s">
        <v>663</v>
      </c>
      <c r="BB146" s="36">
        <f t="shared" si="105"/>
        <v>0</v>
      </c>
      <c r="BC146" s="36">
        <f t="shared" si="106"/>
        <v>0</v>
      </c>
      <c r="BD146" s="36">
        <v>0</v>
      </c>
      <c r="BE146" s="36">
        <f>146</f>
        <v>146</v>
      </c>
      <c r="BG146" s="54">
        <f t="shared" si="107"/>
        <v>0</v>
      </c>
      <c r="BH146" s="54">
        <f t="shared" si="108"/>
        <v>0</v>
      </c>
      <c r="BI146" s="54">
        <f t="shared" si="109"/>
        <v>0</v>
      </c>
    </row>
    <row r="147" spans="1:61" ht="12.75">
      <c r="A147" s="44" t="s">
        <v>202</v>
      </c>
      <c r="B147" s="44" t="s">
        <v>352</v>
      </c>
      <c r="C147" s="160" t="s">
        <v>534</v>
      </c>
      <c r="D147" s="161"/>
      <c r="E147" s="161"/>
      <c r="F147" s="44" t="s">
        <v>598</v>
      </c>
      <c r="G147" s="54">
        <v>12</v>
      </c>
      <c r="H147" s="54">
        <v>0</v>
      </c>
      <c r="I147" s="54">
        <f t="shared" si="88"/>
        <v>0</v>
      </c>
      <c r="J147" s="54">
        <f t="shared" si="89"/>
        <v>0</v>
      </c>
      <c r="K147" s="54">
        <f t="shared" si="90"/>
        <v>0</v>
      </c>
      <c r="Y147" s="36">
        <f t="shared" si="91"/>
        <v>0</v>
      </c>
      <c r="AA147" s="36">
        <f t="shared" si="92"/>
        <v>0</v>
      </c>
      <c r="AB147" s="36">
        <f t="shared" si="93"/>
        <v>0</v>
      </c>
      <c r="AC147" s="36">
        <f t="shared" si="94"/>
        <v>0</v>
      </c>
      <c r="AD147" s="36">
        <f t="shared" si="95"/>
        <v>0</v>
      </c>
      <c r="AE147" s="36">
        <f t="shared" si="96"/>
        <v>0</v>
      </c>
      <c r="AF147" s="36">
        <f t="shared" si="97"/>
        <v>0</v>
      </c>
      <c r="AG147" s="36">
        <f t="shared" si="98"/>
        <v>0</v>
      </c>
      <c r="AH147" s="59" t="s">
        <v>72</v>
      </c>
      <c r="AI147" s="54">
        <f t="shared" si="99"/>
        <v>0</v>
      </c>
      <c r="AJ147" s="54">
        <f t="shared" si="100"/>
        <v>0</v>
      </c>
      <c r="AK147" s="54">
        <f t="shared" si="101"/>
        <v>0</v>
      </c>
      <c r="AM147" s="36">
        <v>21</v>
      </c>
      <c r="AN147" s="36">
        <f>H147*0</f>
        <v>0</v>
      </c>
      <c r="AO147" s="36">
        <f>H147*(1-0)</f>
        <v>0</v>
      </c>
      <c r="AP147" s="60" t="s">
        <v>121</v>
      </c>
      <c r="AU147" s="36">
        <f t="shared" si="102"/>
        <v>0</v>
      </c>
      <c r="AV147" s="36">
        <f t="shared" si="103"/>
        <v>0</v>
      </c>
      <c r="AW147" s="36">
        <f t="shared" si="104"/>
        <v>0</v>
      </c>
      <c r="AX147" s="62" t="s">
        <v>639</v>
      </c>
      <c r="AY147" s="62" t="s">
        <v>654</v>
      </c>
      <c r="AZ147" s="59" t="s">
        <v>663</v>
      </c>
      <c r="BB147" s="36">
        <f t="shared" si="105"/>
        <v>0</v>
      </c>
      <c r="BC147" s="36">
        <f t="shared" si="106"/>
        <v>0</v>
      </c>
      <c r="BD147" s="36">
        <v>0</v>
      </c>
      <c r="BE147" s="36">
        <f>147</f>
        <v>147</v>
      </c>
      <c r="BG147" s="54">
        <f t="shared" si="107"/>
        <v>0</v>
      </c>
      <c r="BH147" s="54">
        <f t="shared" si="108"/>
        <v>0</v>
      </c>
      <c r="BI147" s="54">
        <f t="shared" si="109"/>
        <v>0</v>
      </c>
    </row>
    <row r="148" spans="1:61" ht="12.75">
      <c r="A148" s="44" t="s">
        <v>203</v>
      </c>
      <c r="B148" s="44" t="s">
        <v>353</v>
      </c>
      <c r="C148" s="160" t="s">
        <v>535</v>
      </c>
      <c r="D148" s="161"/>
      <c r="E148" s="161"/>
      <c r="F148" s="44" t="s">
        <v>594</v>
      </c>
      <c r="G148" s="54">
        <v>12</v>
      </c>
      <c r="H148" s="54">
        <v>0</v>
      </c>
      <c r="I148" s="54">
        <f t="shared" si="88"/>
        <v>0</v>
      </c>
      <c r="J148" s="54">
        <f t="shared" si="89"/>
        <v>0</v>
      </c>
      <c r="K148" s="54">
        <f t="shared" si="90"/>
        <v>0</v>
      </c>
      <c r="Y148" s="36">
        <f t="shared" si="91"/>
        <v>0</v>
      </c>
      <c r="AA148" s="36">
        <f t="shared" si="92"/>
        <v>0</v>
      </c>
      <c r="AB148" s="36">
        <f t="shared" si="93"/>
        <v>0</v>
      </c>
      <c r="AC148" s="36">
        <f t="shared" si="94"/>
        <v>0</v>
      </c>
      <c r="AD148" s="36">
        <f t="shared" si="95"/>
        <v>0</v>
      </c>
      <c r="AE148" s="36">
        <f t="shared" si="96"/>
        <v>0</v>
      </c>
      <c r="AF148" s="36">
        <f t="shared" si="97"/>
        <v>0</v>
      </c>
      <c r="AG148" s="36">
        <f t="shared" si="98"/>
        <v>0</v>
      </c>
      <c r="AH148" s="59" t="s">
        <v>72</v>
      </c>
      <c r="AI148" s="54">
        <f t="shared" si="99"/>
        <v>0</v>
      </c>
      <c r="AJ148" s="54">
        <f t="shared" si="100"/>
        <v>0</v>
      </c>
      <c r="AK148" s="54">
        <f t="shared" si="101"/>
        <v>0</v>
      </c>
      <c r="AM148" s="36">
        <v>21</v>
      </c>
      <c r="AN148" s="36">
        <f>H148*0.0101695961482076</f>
        <v>0</v>
      </c>
      <c r="AO148" s="36">
        <f>H148*(1-0.0101695961482076)</f>
        <v>0</v>
      </c>
      <c r="AP148" s="60" t="s">
        <v>121</v>
      </c>
      <c r="AU148" s="36">
        <f t="shared" si="102"/>
        <v>0</v>
      </c>
      <c r="AV148" s="36">
        <f t="shared" si="103"/>
        <v>0</v>
      </c>
      <c r="AW148" s="36">
        <f t="shared" si="104"/>
        <v>0</v>
      </c>
      <c r="AX148" s="62" t="s">
        <v>639</v>
      </c>
      <c r="AY148" s="62" t="s">
        <v>654</v>
      </c>
      <c r="AZ148" s="59" t="s">
        <v>663</v>
      </c>
      <c r="BB148" s="36">
        <f t="shared" si="105"/>
        <v>0</v>
      </c>
      <c r="BC148" s="36">
        <f t="shared" si="106"/>
        <v>0</v>
      </c>
      <c r="BD148" s="36">
        <v>0</v>
      </c>
      <c r="BE148" s="36">
        <f>148</f>
        <v>148</v>
      </c>
      <c r="BG148" s="54">
        <f t="shared" si="107"/>
        <v>0</v>
      </c>
      <c r="BH148" s="54">
        <f t="shared" si="108"/>
        <v>0</v>
      </c>
      <c r="BI148" s="54">
        <f t="shared" si="109"/>
        <v>0</v>
      </c>
    </row>
    <row r="149" spans="1:61" ht="12.75">
      <c r="A149" s="44" t="s">
        <v>204</v>
      </c>
      <c r="B149" s="44" t="s">
        <v>354</v>
      </c>
      <c r="C149" s="160" t="s">
        <v>536</v>
      </c>
      <c r="D149" s="161"/>
      <c r="E149" s="161"/>
      <c r="F149" s="44" t="s">
        <v>598</v>
      </c>
      <c r="G149" s="54">
        <v>9</v>
      </c>
      <c r="H149" s="54">
        <v>0</v>
      </c>
      <c r="I149" s="54">
        <f t="shared" si="88"/>
        <v>0</v>
      </c>
      <c r="J149" s="54">
        <f t="shared" si="89"/>
        <v>0</v>
      </c>
      <c r="K149" s="54">
        <f t="shared" si="90"/>
        <v>0</v>
      </c>
      <c r="Y149" s="36">
        <f t="shared" si="91"/>
        <v>0</v>
      </c>
      <c r="AA149" s="36">
        <f t="shared" si="92"/>
        <v>0</v>
      </c>
      <c r="AB149" s="36">
        <f t="shared" si="93"/>
        <v>0</v>
      </c>
      <c r="AC149" s="36">
        <f t="shared" si="94"/>
        <v>0</v>
      </c>
      <c r="AD149" s="36">
        <f t="shared" si="95"/>
        <v>0</v>
      </c>
      <c r="AE149" s="36">
        <f t="shared" si="96"/>
        <v>0</v>
      </c>
      <c r="AF149" s="36">
        <f t="shared" si="97"/>
        <v>0</v>
      </c>
      <c r="AG149" s="36">
        <f t="shared" si="98"/>
        <v>0</v>
      </c>
      <c r="AH149" s="59" t="s">
        <v>72</v>
      </c>
      <c r="AI149" s="54">
        <f t="shared" si="99"/>
        <v>0</v>
      </c>
      <c r="AJ149" s="54">
        <f t="shared" si="100"/>
        <v>0</v>
      </c>
      <c r="AK149" s="54">
        <f t="shared" si="101"/>
        <v>0</v>
      </c>
      <c r="AM149" s="36">
        <v>21</v>
      </c>
      <c r="AN149" s="36">
        <f>H149*0</f>
        <v>0</v>
      </c>
      <c r="AO149" s="36">
        <f>H149*(1-0)</f>
        <v>0</v>
      </c>
      <c r="AP149" s="60" t="s">
        <v>121</v>
      </c>
      <c r="AU149" s="36">
        <f t="shared" si="102"/>
        <v>0</v>
      </c>
      <c r="AV149" s="36">
        <f t="shared" si="103"/>
        <v>0</v>
      </c>
      <c r="AW149" s="36">
        <f t="shared" si="104"/>
        <v>0</v>
      </c>
      <c r="AX149" s="62" t="s">
        <v>639</v>
      </c>
      <c r="AY149" s="62" t="s">
        <v>654</v>
      </c>
      <c r="AZ149" s="59" t="s">
        <v>663</v>
      </c>
      <c r="BB149" s="36">
        <f t="shared" si="105"/>
        <v>0</v>
      </c>
      <c r="BC149" s="36">
        <f t="shared" si="106"/>
        <v>0</v>
      </c>
      <c r="BD149" s="36">
        <v>0</v>
      </c>
      <c r="BE149" s="36">
        <f>149</f>
        <v>149</v>
      </c>
      <c r="BG149" s="54">
        <f t="shared" si="107"/>
        <v>0</v>
      </c>
      <c r="BH149" s="54">
        <f t="shared" si="108"/>
        <v>0</v>
      </c>
      <c r="BI149" s="54">
        <f t="shared" si="109"/>
        <v>0</v>
      </c>
    </row>
    <row r="150" spans="1:61" ht="12.75">
      <c r="A150" s="44" t="s">
        <v>205</v>
      </c>
      <c r="B150" s="44" t="s">
        <v>355</v>
      </c>
      <c r="C150" s="160" t="s">
        <v>537</v>
      </c>
      <c r="D150" s="161"/>
      <c r="E150" s="161"/>
      <c r="F150" s="44" t="s">
        <v>598</v>
      </c>
      <c r="G150" s="54">
        <v>3</v>
      </c>
      <c r="H150" s="54">
        <v>0</v>
      </c>
      <c r="I150" s="54">
        <f t="shared" si="88"/>
        <v>0</v>
      </c>
      <c r="J150" s="54">
        <f t="shared" si="89"/>
        <v>0</v>
      </c>
      <c r="K150" s="54">
        <f t="shared" si="90"/>
        <v>0</v>
      </c>
      <c r="Y150" s="36">
        <f t="shared" si="91"/>
        <v>0</v>
      </c>
      <c r="AA150" s="36">
        <f t="shared" si="92"/>
        <v>0</v>
      </c>
      <c r="AB150" s="36">
        <f t="shared" si="93"/>
        <v>0</v>
      </c>
      <c r="AC150" s="36">
        <f t="shared" si="94"/>
        <v>0</v>
      </c>
      <c r="AD150" s="36">
        <f t="shared" si="95"/>
        <v>0</v>
      </c>
      <c r="AE150" s="36">
        <f t="shared" si="96"/>
        <v>0</v>
      </c>
      <c r="AF150" s="36">
        <f t="shared" si="97"/>
        <v>0</v>
      </c>
      <c r="AG150" s="36">
        <f t="shared" si="98"/>
        <v>0</v>
      </c>
      <c r="AH150" s="59" t="s">
        <v>72</v>
      </c>
      <c r="AI150" s="54">
        <f t="shared" si="99"/>
        <v>0</v>
      </c>
      <c r="AJ150" s="54">
        <f t="shared" si="100"/>
        <v>0</v>
      </c>
      <c r="AK150" s="54">
        <f t="shared" si="101"/>
        <v>0</v>
      </c>
      <c r="AM150" s="36">
        <v>21</v>
      </c>
      <c r="AN150" s="36">
        <f>H150*0</f>
        <v>0</v>
      </c>
      <c r="AO150" s="36">
        <f>H150*(1-0)</f>
        <v>0</v>
      </c>
      <c r="AP150" s="60" t="s">
        <v>121</v>
      </c>
      <c r="AU150" s="36">
        <f t="shared" si="102"/>
        <v>0</v>
      </c>
      <c r="AV150" s="36">
        <f t="shared" si="103"/>
        <v>0</v>
      </c>
      <c r="AW150" s="36">
        <f t="shared" si="104"/>
        <v>0</v>
      </c>
      <c r="AX150" s="62" t="s">
        <v>639</v>
      </c>
      <c r="AY150" s="62" t="s">
        <v>654</v>
      </c>
      <c r="AZ150" s="59" t="s">
        <v>663</v>
      </c>
      <c r="BB150" s="36">
        <f t="shared" si="105"/>
        <v>0</v>
      </c>
      <c r="BC150" s="36">
        <f t="shared" si="106"/>
        <v>0</v>
      </c>
      <c r="BD150" s="36">
        <v>0</v>
      </c>
      <c r="BE150" s="36">
        <f>150</f>
        <v>150</v>
      </c>
      <c r="BG150" s="54">
        <f t="shared" si="107"/>
        <v>0</v>
      </c>
      <c r="BH150" s="54">
        <f t="shared" si="108"/>
        <v>0</v>
      </c>
      <c r="BI150" s="54">
        <f t="shared" si="109"/>
        <v>0</v>
      </c>
    </row>
    <row r="151" spans="1:61" ht="12.75">
      <c r="A151" s="45" t="s">
        <v>206</v>
      </c>
      <c r="B151" s="45" t="s">
        <v>356</v>
      </c>
      <c r="C151" s="162" t="s">
        <v>538</v>
      </c>
      <c r="D151" s="163"/>
      <c r="E151" s="163"/>
      <c r="F151" s="45" t="s">
        <v>594</v>
      </c>
      <c r="G151" s="55">
        <v>3</v>
      </c>
      <c r="H151" s="55">
        <v>0</v>
      </c>
      <c r="I151" s="55">
        <f t="shared" si="88"/>
        <v>0</v>
      </c>
      <c r="J151" s="55">
        <f t="shared" si="89"/>
        <v>0</v>
      </c>
      <c r="K151" s="55">
        <f t="shared" si="90"/>
        <v>0</v>
      </c>
      <c r="Y151" s="36">
        <f t="shared" si="91"/>
        <v>0</v>
      </c>
      <c r="AA151" s="36">
        <f t="shared" si="92"/>
        <v>0</v>
      </c>
      <c r="AB151" s="36">
        <f t="shared" si="93"/>
        <v>0</v>
      </c>
      <c r="AC151" s="36">
        <f t="shared" si="94"/>
        <v>0</v>
      </c>
      <c r="AD151" s="36">
        <f t="shared" si="95"/>
        <v>0</v>
      </c>
      <c r="AE151" s="36">
        <f t="shared" si="96"/>
        <v>0</v>
      </c>
      <c r="AF151" s="36">
        <f t="shared" si="97"/>
        <v>0</v>
      </c>
      <c r="AG151" s="36">
        <f t="shared" si="98"/>
        <v>0</v>
      </c>
      <c r="AH151" s="59" t="s">
        <v>72</v>
      </c>
      <c r="AI151" s="55">
        <f t="shared" si="99"/>
        <v>0</v>
      </c>
      <c r="AJ151" s="55">
        <f t="shared" si="100"/>
        <v>0</v>
      </c>
      <c r="AK151" s="55">
        <f t="shared" si="101"/>
        <v>0</v>
      </c>
      <c r="AM151" s="36">
        <v>21</v>
      </c>
      <c r="AN151" s="36">
        <f>H151*1</f>
        <v>0</v>
      </c>
      <c r="AO151" s="36">
        <f>H151*(1-1)</f>
        <v>0</v>
      </c>
      <c r="AP151" s="61" t="s">
        <v>121</v>
      </c>
      <c r="AU151" s="36">
        <f t="shared" si="102"/>
        <v>0</v>
      </c>
      <c r="AV151" s="36">
        <f t="shared" si="103"/>
        <v>0</v>
      </c>
      <c r="AW151" s="36">
        <f t="shared" si="104"/>
        <v>0</v>
      </c>
      <c r="AX151" s="62" t="s">
        <v>639</v>
      </c>
      <c r="AY151" s="62" t="s">
        <v>654</v>
      </c>
      <c r="AZ151" s="59" t="s">
        <v>663</v>
      </c>
      <c r="BB151" s="36">
        <f t="shared" si="105"/>
        <v>0</v>
      </c>
      <c r="BC151" s="36">
        <f t="shared" si="106"/>
        <v>0</v>
      </c>
      <c r="BD151" s="36">
        <v>0</v>
      </c>
      <c r="BE151" s="36">
        <f>151</f>
        <v>151</v>
      </c>
      <c r="BG151" s="55">
        <f t="shared" si="107"/>
        <v>0</v>
      </c>
      <c r="BH151" s="55">
        <f t="shared" si="108"/>
        <v>0</v>
      </c>
      <c r="BI151" s="55">
        <f t="shared" si="109"/>
        <v>0</v>
      </c>
    </row>
    <row r="152" spans="1:61" ht="12.75">
      <c r="A152" s="44" t="s">
        <v>207</v>
      </c>
      <c r="B152" s="44" t="s">
        <v>357</v>
      </c>
      <c r="C152" s="160" t="s">
        <v>539</v>
      </c>
      <c r="D152" s="161"/>
      <c r="E152" s="161"/>
      <c r="F152" s="44" t="s">
        <v>66</v>
      </c>
      <c r="G152" s="54">
        <v>4254.5</v>
      </c>
      <c r="H152" s="54">
        <v>0</v>
      </c>
      <c r="I152" s="54">
        <f t="shared" si="88"/>
        <v>0</v>
      </c>
      <c r="J152" s="54">
        <f t="shared" si="89"/>
        <v>0</v>
      </c>
      <c r="K152" s="54">
        <f t="shared" si="90"/>
        <v>0</v>
      </c>
      <c r="Y152" s="36">
        <f t="shared" si="91"/>
        <v>0</v>
      </c>
      <c r="AA152" s="36">
        <f t="shared" si="92"/>
        <v>0</v>
      </c>
      <c r="AB152" s="36">
        <f t="shared" si="93"/>
        <v>0</v>
      </c>
      <c r="AC152" s="36">
        <f t="shared" si="94"/>
        <v>0</v>
      </c>
      <c r="AD152" s="36">
        <f t="shared" si="95"/>
        <v>0</v>
      </c>
      <c r="AE152" s="36">
        <f t="shared" si="96"/>
        <v>0</v>
      </c>
      <c r="AF152" s="36">
        <f t="shared" si="97"/>
        <v>0</v>
      </c>
      <c r="AG152" s="36">
        <f t="shared" si="98"/>
        <v>0</v>
      </c>
      <c r="AH152" s="59" t="s">
        <v>72</v>
      </c>
      <c r="AI152" s="54">
        <f t="shared" si="99"/>
        <v>0</v>
      </c>
      <c r="AJ152" s="54">
        <f t="shared" si="100"/>
        <v>0</v>
      </c>
      <c r="AK152" s="54">
        <f t="shared" si="101"/>
        <v>0</v>
      </c>
      <c r="AM152" s="36">
        <v>21</v>
      </c>
      <c r="AN152" s="36">
        <f>H152*0</f>
        <v>0</v>
      </c>
      <c r="AO152" s="36">
        <f>H152*(1-0)</f>
        <v>0</v>
      </c>
      <c r="AP152" s="60" t="s">
        <v>118</v>
      </c>
      <c r="AU152" s="36">
        <f t="shared" si="102"/>
        <v>0</v>
      </c>
      <c r="AV152" s="36">
        <f t="shared" si="103"/>
        <v>0</v>
      </c>
      <c r="AW152" s="36">
        <f t="shared" si="104"/>
        <v>0</v>
      </c>
      <c r="AX152" s="62" t="s">
        <v>639</v>
      </c>
      <c r="AY152" s="62" t="s">
        <v>654</v>
      </c>
      <c r="AZ152" s="59" t="s">
        <v>663</v>
      </c>
      <c r="BB152" s="36">
        <f t="shared" si="105"/>
        <v>0</v>
      </c>
      <c r="BC152" s="36">
        <f t="shared" si="106"/>
        <v>0</v>
      </c>
      <c r="BD152" s="36">
        <v>0</v>
      </c>
      <c r="BE152" s="36">
        <f>152</f>
        <v>152</v>
      </c>
      <c r="BG152" s="54">
        <f t="shared" si="107"/>
        <v>0</v>
      </c>
      <c r="BH152" s="54">
        <f t="shared" si="108"/>
        <v>0</v>
      </c>
      <c r="BI152" s="54">
        <f t="shared" si="109"/>
        <v>0</v>
      </c>
    </row>
    <row r="153" spans="1:61" ht="12.75">
      <c r="A153" s="44" t="s">
        <v>208</v>
      </c>
      <c r="B153" s="44" t="s">
        <v>358</v>
      </c>
      <c r="C153" s="160" t="s">
        <v>540</v>
      </c>
      <c r="D153" s="161"/>
      <c r="E153" s="161"/>
      <c r="F153" s="44" t="s">
        <v>592</v>
      </c>
      <c r="G153" s="54">
        <v>0.14</v>
      </c>
      <c r="H153" s="54">
        <v>0</v>
      </c>
      <c r="I153" s="54">
        <f t="shared" si="88"/>
        <v>0</v>
      </c>
      <c r="J153" s="54">
        <f t="shared" si="89"/>
        <v>0</v>
      </c>
      <c r="K153" s="54">
        <f t="shared" si="90"/>
        <v>0</v>
      </c>
      <c r="Y153" s="36">
        <f t="shared" si="91"/>
        <v>0</v>
      </c>
      <c r="AA153" s="36">
        <f t="shared" si="92"/>
        <v>0</v>
      </c>
      <c r="AB153" s="36">
        <f t="shared" si="93"/>
        <v>0</v>
      </c>
      <c r="AC153" s="36">
        <f t="shared" si="94"/>
        <v>0</v>
      </c>
      <c r="AD153" s="36">
        <f t="shared" si="95"/>
        <v>0</v>
      </c>
      <c r="AE153" s="36">
        <f t="shared" si="96"/>
        <v>0</v>
      </c>
      <c r="AF153" s="36">
        <f t="shared" si="97"/>
        <v>0</v>
      </c>
      <c r="AG153" s="36">
        <f t="shared" si="98"/>
        <v>0</v>
      </c>
      <c r="AH153" s="59" t="s">
        <v>72</v>
      </c>
      <c r="AI153" s="54">
        <f t="shared" si="99"/>
        <v>0</v>
      </c>
      <c r="AJ153" s="54">
        <f t="shared" si="100"/>
        <v>0</v>
      </c>
      <c r="AK153" s="54">
        <f t="shared" si="101"/>
        <v>0</v>
      </c>
      <c r="AM153" s="36">
        <v>21</v>
      </c>
      <c r="AN153" s="36">
        <f>H153*0</f>
        <v>0</v>
      </c>
      <c r="AO153" s="36">
        <f>H153*(1-0)</f>
        <v>0</v>
      </c>
      <c r="AP153" s="60" t="s">
        <v>120</v>
      </c>
      <c r="AU153" s="36">
        <f t="shared" si="102"/>
        <v>0</v>
      </c>
      <c r="AV153" s="36">
        <f t="shared" si="103"/>
        <v>0</v>
      </c>
      <c r="AW153" s="36">
        <f t="shared" si="104"/>
        <v>0</v>
      </c>
      <c r="AX153" s="62" t="s">
        <v>639</v>
      </c>
      <c r="AY153" s="62" t="s">
        <v>654</v>
      </c>
      <c r="AZ153" s="59" t="s">
        <v>663</v>
      </c>
      <c r="BB153" s="36">
        <f t="shared" si="105"/>
        <v>0</v>
      </c>
      <c r="BC153" s="36">
        <f t="shared" si="106"/>
        <v>0</v>
      </c>
      <c r="BD153" s="36">
        <v>0</v>
      </c>
      <c r="BE153" s="36">
        <f>153</f>
        <v>153</v>
      </c>
      <c r="BG153" s="54">
        <f t="shared" si="107"/>
        <v>0</v>
      </c>
      <c r="BH153" s="54">
        <f t="shared" si="108"/>
        <v>0</v>
      </c>
      <c r="BI153" s="54">
        <f t="shared" si="109"/>
        <v>0</v>
      </c>
    </row>
    <row r="154" spans="1:46" ht="12.75">
      <c r="A154" s="43"/>
      <c r="B154" s="51" t="s">
        <v>196</v>
      </c>
      <c r="C154" s="158" t="s">
        <v>476</v>
      </c>
      <c r="D154" s="159"/>
      <c r="E154" s="159"/>
      <c r="F154" s="43" t="s">
        <v>69</v>
      </c>
      <c r="G154" s="43" t="s">
        <v>69</v>
      </c>
      <c r="H154" s="43" t="s">
        <v>69</v>
      </c>
      <c r="I154" s="64">
        <f>SUM(I155:I156)</f>
        <v>0</v>
      </c>
      <c r="J154" s="64">
        <f>SUM(J155:J156)</f>
        <v>0</v>
      </c>
      <c r="K154" s="64">
        <f>SUM(K155:K156)</f>
        <v>0</v>
      </c>
      <c r="AH154" s="59" t="s">
        <v>72</v>
      </c>
      <c r="AR154" s="64">
        <f>SUM(AI155:AI156)</f>
        <v>0</v>
      </c>
      <c r="AS154" s="64">
        <f>SUM(AJ155:AJ156)</f>
        <v>0</v>
      </c>
      <c r="AT154" s="64">
        <f>SUM(AK155:AK156)</f>
        <v>0</v>
      </c>
    </row>
    <row r="155" spans="1:61" ht="12.75">
      <c r="A155" s="44" t="s">
        <v>209</v>
      </c>
      <c r="B155" s="44" t="s">
        <v>359</v>
      </c>
      <c r="C155" s="160" t="s">
        <v>541</v>
      </c>
      <c r="D155" s="161"/>
      <c r="E155" s="161"/>
      <c r="F155" s="44" t="s">
        <v>597</v>
      </c>
      <c r="G155" s="54">
        <v>12</v>
      </c>
      <c r="H155" s="54">
        <v>0</v>
      </c>
      <c r="I155" s="54">
        <f>G155*AN155</f>
        <v>0</v>
      </c>
      <c r="J155" s="54">
        <f>G155*AO155</f>
        <v>0</v>
      </c>
      <c r="K155" s="54">
        <f>G155*H155</f>
        <v>0</v>
      </c>
      <c r="Y155" s="36">
        <f>IF(AP155="5",BI155,0)</f>
        <v>0</v>
      </c>
      <c r="AA155" s="36">
        <f>IF(AP155="1",BG155,0)</f>
        <v>0</v>
      </c>
      <c r="AB155" s="36">
        <f>IF(AP155="1",BH155,0)</f>
        <v>0</v>
      </c>
      <c r="AC155" s="36">
        <f>IF(AP155="7",BG155,0)</f>
        <v>0</v>
      </c>
      <c r="AD155" s="36">
        <f>IF(AP155="7",BH155,0)</f>
        <v>0</v>
      </c>
      <c r="AE155" s="36">
        <f>IF(AP155="2",BG155,0)</f>
        <v>0</v>
      </c>
      <c r="AF155" s="36">
        <f>IF(AP155="2",BH155,0)</f>
        <v>0</v>
      </c>
      <c r="AG155" s="36">
        <f>IF(AP155="0",BI155,0)</f>
        <v>0</v>
      </c>
      <c r="AH155" s="59" t="s">
        <v>72</v>
      </c>
      <c r="AI155" s="54">
        <f>IF(AM155=0,K155,0)</f>
        <v>0</v>
      </c>
      <c r="AJ155" s="54">
        <f>IF(AM155=15,K155,0)</f>
        <v>0</v>
      </c>
      <c r="AK155" s="54">
        <f>IF(AM155=21,K155,0)</f>
        <v>0</v>
      </c>
      <c r="AM155" s="36">
        <v>21</v>
      </c>
      <c r="AN155" s="36">
        <f>H155*0</f>
        <v>0</v>
      </c>
      <c r="AO155" s="36">
        <f>H155*(1-0)</f>
        <v>0</v>
      </c>
      <c r="AP155" s="60" t="s">
        <v>117</v>
      </c>
      <c r="AU155" s="36">
        <f>AV155+AW155</f>
        <v>0</v>
      </c>
      <c r="AV155" s="36">
        <f>G155*AN155</f>
        <v>0</v>
      </c>
      <c r="AW155" s="36">
        <f>G155*AO155</f>
        <v>0</v>
      </c>
      <c r="AX155" s="62" t="s">
        <v>630</v>
      </c>
      <c r="AY155" s="62" t="s">
        <v>655</v>
      </c>
      <c r="AZ155" s="59" t="s">
        <v>663</v>
      </c>
      <c r="BB155" s="36">
        <f>AV155+AW155</f>
        <v>0</v>
      </c>
      <c r="BC155" s="36">
        <f>H155/(100-BD155)*100</f>
        <v>0</v>
      </c>
      <c r="BD155" s="36">
        <v>0</v>
      </c>
      <c r="BE155" s="36">
        <f>155</f>
        <v>155</v>
      </c>
      <c r="BG155" s="54">
        <f>G155*AN155</f>
        <v>0</v>
      </c>
      <c r="BH155" s="54">
        <f>G155*AO155</f>
        <v>0</v>
      </c>
      <c r="BI155" s="54">
        <f>G155*H155</f>
        <v>0</v>
      </c>
    </row>
    <row r="156" spans="1:61" ht="12.75">
      <c r="A156" s="44" t="s">
        <v>210</v>
      </c>
      <c r="B156" s="44" t="s">
        <v>360</v>
      </c>
      <c r="C156" s="160" t="s">
        <v>542</v>
      </c>
      <c r="D156" s="161"/>
      <c r="E156" s="161"/>
      <c r="F156" s="44" t="s">
        <v>597</v>
      </c>
      <c r="G156" s="54">
        <v>12</v>
      </c>
      <c r="H156" s="54">
        <v>0</v>
      </c>
      <c r="I156" s="54">
        <f>G156*AN156</f>
        <v>0</v>
      </c>
      <c r="J156" s="54">
        <f>G156*AO156</f>
        <v>0</v>
      </c>
      <c r="K156" s="54">
        <f>G156*H156</f>
        <v>0</v>
      </c>
      <c r="Y156" s="36">
        <f>IF(AP156="5",BI156,0)</f>
        <v>0</v>
      </c>
      <c r="AA156" s="36">
        <f>IF(AP156="1",BG156,0)</f>
        <v>0</v>
      </c>
      <c r="AB156" s="36">
        <f>IF(AP156="1",BH156,0)</f>
        <v>0</v>
      </c>
      <c r="AC156" s="36">
        <f>IF(AP156="7",BG156,0)</f>
        <v>0</v>
      </c>
      <c r="AD156" s="36">
        <f>IF(AP156="7",BH156,0)</f>
        <v>0</v>
      </c>
      <c r="AE156" s="36">
        <f>IF(AP156="2",BG156,0)</f>
        <v>0</v>
      </c>
      <c r="AF156" s="36">
        <f>IF(AP156="2",BH156,0)</f>
        <v>0</v>
      </c>
      <c r="AG156" s="36">
        <f>IF(AP156="0",BI156,0)</f>
        <v>0</v>
      </c>
      <c r="AH156" s="59" t="s">
        <v>72</v>
      </c>
      <c r="AI156" s="54">
        <f>IF(AM156=0,K156,0)</f>
        <v>0</v>
      </c>
      <c r="AJ156" s="54">
        <f>IF(AM156=15,K156,0)</f>
        <v>0</v>
      </c>
      <c r="AK156" s="54">
        <f>IF(AM156=21,K156,0)</f>
        <v>0</v>
      </c>
      <c r="AM156" s="36">
        <v>21</v>
      </c>
      <c r="AN156" s="36">
        <f>H156*0</f>
        <v>0</v>
      </c>
      <c r="AO156" s="36">
        <f>H156*(1-0)</f>
        <v>0</v>
      </c>
      <c r="AP156" s="60" t="s">
        <v>117</v>
      </c>
      <c r="AU156" s="36">
        <f>AV156+AW156</f>
        <v>0</v>
      </c>
      <c r="AV156" s="36">
        <f>G156*AN156</f>
        <v>0</v>
      </c>
      <c r="AW156" s="36">
        <f>G156*AO156</f>
        <v>0</v>
      </c>
      <c r="AX156" s="62" t="s">
        <v>630</v>
      </c>
      <c r="AY156" s="62" t="s">
        <v>655</v>
      </c>
      <c r="AZ156" s="59" t="s">
        <v>663</v>
      </c>
      <c r="BB156" s="36">
        <f>AV156+AW156</f>
        <v>0</v>
      </c>
      <c r="BC156" s="36">
        <f>H156/(100-BD156)*100</f>
        <v>0</v>
      </c>
      <c r="BD156" s="36">
        <v>0</v>
      </c>
      <c r="BE156" s="36">
        <f>156</f>
        <v>156</v>
      </c>
      <c r="BG156" s="54">
        <f>G156*AN156</f>
        <v>0</v>
      </c>
      <c r="BH156" s="54">
        <f>G156*AO156</f>
        <v>0</v>
      </c>
      <c r="BI156" s="54">
        <f>G156*H156</f>
        <v>0</v>
      </c>
    </row>
    <row r="157" spans="1:11" ht="12.75">
      <c r="A157" s="46"/>
      <c r="B157" s="52"/>
      <c r="C157" s="166" t="s">
        <v>81</v>
      </c>
      <c r="D157" s="167"/>
      <c r="E157" s="167"/>
      <c r="F157" s="46" t="s">
        <v>69</v>
      </c>
      <c r="G157" s="46" t="s">
        <v>69</v>
      </c>
      <c r="H157" s="46" t="s">
        <v>69</v>
      </c>
      <c r="I157" s="65">
        <f>I158+I172+I174+I176</f>
        <v>0</v>
      </c>
      <c r="J157" s="65">
        <f>J158+J172+J174+J176</f>
        <v>0</v>
      </c>
      <c r="K157" s="65">
        <f>K158+K172+K174+K176</f>
        <v>0</v>
      </c>
    </row>
    <row r="158" spans="1:46" ht="12.75">
      <c r="A158" s="43"/>
      <c r="B158" s="51" t="s">
        <v>361</v>
      </c>
      <c r="C158" s="158" t="s">
        <v>543</v>
      </c>
      <c r="D158" s="159"/>
      <c r="E158" s="159"/>
      <c r="F158" s="43" t="s">
        <v>69</v>
      </c>
      <c r="G158" s="43" t="s">
        <v>69</v>
      </c>
      <c r="H158" s="43" t="s">
        <v>69</v>
      </c>
      <c r="I158" s="64">
        <f>SUM(I159:I171)</f>
        <v>0</v>
      </c>
      <c r="J158" s="64">
        <f>SUM(J159:J171)</f>
        <v>0</v>
      </c>
      <c r="K158" s="64">
        <f>SUM(K159:K171)</f>
        <v>0</v>
      </c>
      <c r="AH158" s="59" t="s">
        <v>73</v>
      </c>
      <c r="AR158" s="64">
        <f>SUM(AI159:AI171)</f>
        <v>0</v>
      </c>
      <c r="AS158" s="64">
        <f>SUM(AJ159:AJ171)</f>
        <v>0</v>
      </c>
      <c r="AT158" s="64">
        <f>SUM(AK159:AK171)</f>
        <v>0</v>
      </c>
    </row>
    <row r="159" spans="1:61" ht="12.75">
      <c r="A159" s="44" t="s">
        <v>211</v>
      </c>
      <c r="B159" s="44" t="s">
        <v>362</v>
      </c>
      <c r="C159" s="160" t="s">
        <v>544</v>
      </c>
      <c r="D159" s="161"/>
      <c r="E159" s="161"/>
      <c r="F159" s="44" t="s">
        <v>594</v>
      </c>
      <c r="G159" s="54">
        <v>16</v>
      </c>
      <c r="H159" s="54">
        <v>0</v>
      </c>
      <c r="I159" s="54">
        <f aca="true" t="shared" si="110" ref="I159:I171">G159*AN159</f>
        <v>0</v>
      </c>
      <c r="J159" s="54">
        <f aca="true" t="shared" si="111" ref="J159:J171">G159*AO159</f>
        <v>0</v>
      </c>
      <c r="K159" s="54">
        <f aca="true" t="shared" si="112" ref="K159:K171">G159*H159</f>
        <v>0</v>
      </c>
      <c r="Y159" s="36">
        <f aca="true" t="shared" si="113" ref="Y159:Y171">IF(AP159="5",BI159,0)</f>
        <v>0</v>
      </c>
      <c r="AA159" s="36">
        <f aca="true" t="shared" si="114" ref="AA159:AA171">IF(AP159="1",BG159,0)</f>
        <v>0</v>
      </c>
      <c r="AB159" s="36">
        <f aca="true" t="shared" si="115" ref="AB159:AB171">IF(AP159="1",BH159,0)</f>
        <v>0</v>
      </c>
      <c r="AC159" s="36">
        <f aca="true" t="shared" si="116" ref="AC159:AC171">IF(AP159="7",BG159,0)</f>
        <v>0</v>
      </c>
      <c r="AD159" s="36">
        <f aca="true" t="shared" si="117" ref="AD159:AD171">IF(AP159="7",BH159,0)</f>
        <v>0</v>
      </c>
      <c r="AE159" s="36">
        <f aca="true" t="shared" si="118" ref="AE159:AE171">IF(AP159="2",BG159,0)</f>
        <v>0</v>
      </c>
      <c r="AF159" s="36">
        <f aca="true" t="shared" si="119" ref="AF159:AF171">IF(AP159="2",BH159,0)</f>
        <v>0</v>
      </c>
      <c r="AG159" s="36">
        <f aca="true" t="shared" si="120" ref="AG159:AG171">IF(AP159="0",BI159,0)</f>
        <v>0</v>
      </c>
      <c r="AH159" s="59" t="s">
        <v>73</v>
      </c>
      <c r="AI159" s="54">
        <f aca="true" t="shared" si="121" ref="AI159:AI171">IF(AM159=0,K159,0)</f>
        <v>0</v>
      </c>
      <c r="AJ159" s="54">
        <f aca="true" t="shared" si="122" ref="AJ159:AJ171">IF(AM159=15,K159,0)</f>
        <v>0</v>
      </c>
      <c r="AK159" s="54">
        <f aca="true" t="shared" si="123" ref="AK159:AK171">IF(AM159=21,K159,0)</f>
        <v>0</v>
      </c>
      <c r="AM159" s="36">
        <v>21</v>
      </c>
      <c r="AN159" s="36">
        <f>H159*0</f>
        <v>0</v>
      </c>
      <c r="AO159" s="36">
        <f>H159*(1-0)</f>
        <v>0</v>
      </c>
      <c r="AP159" s="60" t="s">
        <v>121</v>
      </c>
      <c r="AU159" s="36">
        <f aca="true" t="shared" si="124" ref="AU159:AU171">AV159+AW159</f>
        <v>0</v>
      </c>
      <c r="AV159" s="36">
        <f aca="true" t="shared" si="125" ref="AV159:AV171">G159*AN159</f>
        <v>0</v>
      </c>
      <c r="AW159" s="36">
        <f aca="true" t="shared" si="126" ref="AW159:AW171">G159*AO159</f>
        <v>0</v>
      </c>
      <c r="AX159" s="62" t="s">
        <v>640</v>
      </c>
      <c r="AY159" s="62" t="s">
        <v>656</v>
      </c>
      <c r="AZ159" s="59" t="s">
        <v>664</v>
      </c>
      <c r="BB159" s="36">
        <f aca="true" t="shared" si="127" ref="BB159:BB171">AV159+AW159</f>
        <v>0</v>
      </c>
      <c r="BC159" s="36">
        <f aca="true" t="shared" si="128" ref="BC159:BC171">H159/(100-BD159)*100</f>
        <v>0</v>
      </c>
      <c r="BD159" s="36">
        <v>0</v>
      </c>
      <c r="BE159" s="36">
        <f>159</f>
        <v>159</v>
      </c>
      <c r="BG159" s="54">
        <f aca="true" t="shared" si="129" ref="BG159:BG171">G159*AN159</f>
        <v>0</v>
      </c>
      <c r="BH159" s="54">
        <f aca="true" t="shared" si="130" ref="BH159:BH171">G159*AO159</f>
        <v>0</v>
      </c>
      <c r="BI159" s="54">
        <f aca="true" t="shared" si="131" ref="BI159:BI171">G159*H159</f>
        <v>0</v>
      </c>
    </row>
    <row r="160" spans="1:61" ht="12.75">
      <c r="A160" s="44" t="s">
        <v>212</v>
      </c>
      <c r="B160" s="44" t="s">
        <v>363</v>
      </c>
      <c r="C160" s="160" t="s">
        <v>545</v>
      </c>
      <c r="D160" s="161"/>
      <c r="E160" s="161"/>
      <c r="F160" s="44" t="s">
        <v>593</v>
      </c>
      <c r="G160" s="54">
        <v>5</v>
      </c>
      <c r="H160" s="54">
        <v>0</v>
      </c>
      <c r="I160" s="54">
        <f t="shared" si="110"/>
        <v>0</v>
      </c>
      <c r="J160" s="54">
        <f t="shared" si="111"/>
        <v>0</v>
      </c>
      <c r="K160" s="54">
        <f t="shared" si="112"/>
        <v>0</v>
      </c>
      <c r="Y160" s="36">
        <f t="shared" si="113"/>
        <v>0</v>
      </c>
      <c r="AA160" s="36">
        <f t="shared" si="114"/>
        <v>0</v>
      </c>
      <c r="AB160" s="36">
        <f t="shared" si="115"/>
        <v>0</v>
      </c>
      <c r="AC160" s="36">
        <f t="shared" si="116"/>
        <v>0</v>
      </c>
      <c r="AD160" s="36">
        <f t="shared" si="117"/>
        <v>0</v>
      </c>
      <c r="AE160" s="36">
        <f t="shared" si="118"/>
        <v>0</v>
      </c>
      <c r="AF160" s="36">
        <f t="shared" si="119"/>
        <v>0</v>
      </c>
      <c r="AG160" s="36">
        <f t="shared" si="120"/>
        <v>0</v>
      </c>
      <c r="AH160" s="59" t="s">
        <v>73</v>
      </c>
      <c r="AI160" s="54">
        <f t="shared" si="121"/>
        <v>0</v>
      </c>
      <c r="AJ160" s="54">
        <f t="shared" si="122"/>
        <v>0</v>
      </c>
      <c r="AK160" s="54">
        <f t="shared" si="123"/>
        <v>0</v>
      </c>
      <c r="AM160" s="36">
        <v>21</v>
      </c>
      <c r="AN160" s="36">
        <f>H160*0.410907692307692</f>
        <v>0</v>
      </c>
      <c r="AO160" s="36">
        <f>H160*(1-0.410907692307692)</f>
        <v>0</v>
      </c>
      <c r="AP160" s="60" t="s">
        <v>121</v>
      </c>
      <c r="AU160" s="36">
        <f t="shared" si="124"/>
        <v>0</v>
      </c>
      <c r="AV160" s="36">
        <f t="shared" si="125"/>
        <v>0</v>
      </c>
      <c r="AW160" s="36">
        <f t="shared" si="126"/>
        <v>0</v>
      </c>
      <c r="AX160" s="62" t="s">
        <v>640</v>
      </c>
      <c r="AY160" s="62" t="s">
        <v>656</v>
      </c>
      <c r="AZ160" s="59" t="s">
        <v>664</v>
      </c>
      <c r="BB160" s="36">
        <f t="shared" si="127"/>
        <v>0</v>
      </c>
      <c r="BC160" s="36">
        <f t="shared" si="128"/>
        <v>0</v>
      </c>
      <c r="BD160" s="36">
        <v>0</v>
      </c>
      <c r="BE160" s="36">
        <f>160</f>
        <v>160</v>
      </c>
      <c r="BG160" s="54">
        <f t="shared" si="129"/>
        <v>0</v>
      </c>
      <c r="BH160" s="54">
        <f t="shared" si="130"/>
        <v>0</v>
      </c>
      <c r="BI160" s="54">
        <f t="shared" si="131"/>
        <v>0</v>
      </c>
    </row>
    <row r="161" spans="1:61" ht="12.75">
      <c r="A161" s="44" t="s">
        <v>213</v>
      </c>
      <c r="B161" s="44" t="s">
        <v>364</v>
      </c>
      <c r="C161" s="160" t="s">
        <v>546</v>
      </c>
      <c r="D161" s="161"/>
      <c r="E161" s="161"/>
      <c r="F161" s="44" t="s">
        <v>593</v>
      </c>
      <c r="G161" s="54">
        <v>3.2</v>
      </c>
      <c r="H161" s="54">
        <v>0</v>
      </c>
      <c r="I161" s="54">
        <f t="shared" si="110"/>
        <v>0</v>
      </c>
      <c r="J161" s="54">
        <f t="shared" si="111"/>
        <v>0</v>
      </c>
      <c r="K161" s="54">
        <f t="shared" si="112"/>
        <v>0</v>
      </c>
      <c r="Y161" s="36">
        <f t="shared" si="113"/>
        <v>0</v>
      </c>
      <c r="AA161" s="36">
        <f t="shared" si="114"/>
        <v>0</v>
      </c>
      <c r="AB161" s="36">
        <f t="shared" si="115"/>
        <v>0</v>
      </c>
      <c r="AC161" s="36">
        <f t="shared" si="116"/>
        <v>0</v>
      </c>
      <c r="AD161" s="36">
        <f t="shared" si="117"/>
        <v>0</v>
      </c>
      <c r="AE161" s="36">
        <f t="shared" si="118"/>
        <v>0</v>
      </c>
      <c r="AF161" s="36">
        <f t="shared" si="119"/>
        <v>0</v>
      </c>
      <c r="AG161" s="36">
        <f t="shared" si="120"/>
        <v>0</v>
      </c>
      <c r="AH161" s="59" t="s">
        <v>73</v>
      </c>
      <c r="AI161" s="54">
        <f t="shared" si="121"/>
        <v>0</v>
      </c>
      <c r="AJ161" s="54">
        <f t="shared" si="122"/>
        <v>0</v>
      </c>
      <c r="AK161" s="54">
        <f t="shared" si="123"/>
        <v>0</v>
      </c>
      <c r="AM161" s="36">
        <v>21</v>
      </c>
      <c r="AN161" s="36">
        <f>H161*0.309864864864865</f>
        <v>0</v>
      </c>
      <c r="AO161" s="36">
        <f>H161*(1-0.309864864864865)</f>
        <v>0</v>
      </c>
      <c r="AP161" s="60" t="s">
        <v>121</v>
      </c>
      <c r="AU161" s="36">
        <f t="shared" si="124"/>
        <v>0</v>
      </c>
      <c r="AV161" s="36">
        <f t="shared" si="125"/>
        <v>0</v>
      </c>
      <c r="AW161" s="36">
        <f t="shared" si="126"/>
        <v>0</v>
      </c>
      <c r="AX161" s="62" t="s">
        <v>640</v>
      </c>
      <c r="AY161" s="62" t="s">
        <v>656</v>
      </c>
      <c r="AZ161" s="59" t="s">
        <v>664</v>
      </c>
      <c r="BB161" s="36">
        <f t="shared" si="127"/>
        <v>0</v>
      </c>
      <c r="BC161" s="36">
        <f t="shared" si="128"/>
        <v>0</v>
      </c>
      <c r="BD161" s="36">
        <v>0</v>
      </c>
      <c r="BE161" s="36">
        <f>161</f>
        <v>161</v>
      </c>
      <c r="BG161" s="54">
        <f t="shared" si="129"/>
        <v>0</v>
      </c>
      <c r="BH161" s="54">
        <f t="shared" si="130"/>
        <v>0</v>
      </c>
      <c r="BI161" s="54">
        <f t="shared" si="131"/>
        <v>0</v>
      </c>
    </row>
    <row r="162" spans="1:61" ht="12.75">
      <c r="A162" s="44" t="s">
        <v>214</v>
      </c>
      <c r="B162" s="44" t="s">
        <v>365</v>
      </c>
      <c r="C162" s="160" t="s">
        <v>547</v>
      </c>
      <c r="D162" s="161"/>
      <c r="E162" s="161"/>
      <c r="F162" s="44" t="s">
        <v>593</v>
      </c>
      <c r="G162" s="54">
        <v>8.2</v>
      </c>
      <c r="H162" s="54">
        <v>0</v>
      </c>
      <c r="I162" s="54">
        <f t="shared" si="110"/>
        <v>0</v>
      </c>
      <c r="J162" s="54">
        <f t="shared" si="111"/>
        <v>0</v>
      </c>
      <c r="K162" s="54">
        <f t="shared" si="112"/>
        <v>0</v>
      </c>
      <c r="Y162" s="36">
        <f t="shared" si="113"/>
        <v>0</v>
      </c>
      <c r="AA162" s="36">
        <f t="shared" si="114"/>
        <v>0</v>
      </c>
      <c r="AB162" s="36">
        <f t="shared" si="115"/>
        <v>0</v>
      </c>
      <c r="AC162" s="36">
        <f t="shared" si="116"/>
        <v>0</v>
      </c>
      <c r="AD162" s="36">
        <f t="shared" si="117"/>
        <v>0</v>
      </c>
      <c r="AE162" s="36">
        <f t="shared" si="118"/>
        <v>0</v>
      </c>
      <c r="AF162" s="36">
        <f t="shared" si="119"/>
        <v>0</v>
      </c>
      <c r="AG162" s="36">
        <f t="shared" si="120"/>
        <v>0</v>
      </c>
      <c r="AH162" s="59" t="s">
        <v>73</v>
      </c>
      <c r="AI162" s="54">
        <f t="shared" si="121"/>
        <v>0</v>
      </c>
      <c r="AJ162" s="54">
        <f t="shared" si="122"/>
        <v>0</v>
      </c>
      <c r="AK162" s="54">
        <f t="shared" si="123"/>
        <v>0</v>
      </c>
      <c r="AM162" s="36">
        <v>21</v>
      </c>
      <c r="AN162" s="36">
        <f>H162*0</f>
        <v>0</v>
      </c>
      <c r="AO162" s="36">
        <f>H162*(1-0)</f>
        <v>0</v>
      </c>
      <c r="AP162" s="60" t="s">
        <v>118</v>
      </c>
      <c r="AU162" s="36">
        <f t="shared" si="124"/>
        <v>0</v>
      </c>
      <c r="AV162" s="36">
        <f t="shared" si="125"/>
        <v>0</v>
      </c>
      <c r="AW162" s="36">
        <f t="shared" si="126"/>
        <v>0</v>
      </c>
      <c r="AX162" s="62" t="s">
        <v>640</v>
      </c>
      <c r="AY162" s="62" t="s">
        <v>656</v>
      </c>
      <c r="AZ162" s="59" t="s">
        <v>664</v>
      </c>
      <c r="BB162" s="36">
        <f t="shared" si="127"/>
        <v>0</v>
      </c>
      <c r="BC162" s="36">
        <f t="shared" si="128"/>
        <v>0</v>
      </c>
      <c r="BD162" s="36">
        <v>0</v>
      </c>
      <c r="BE162" s="36">
        <f>162</f>
        <v>162</v>
      </c>
      <c r="BG162" s="54">
        <f t="shared" si="129"/>
        <v>0</v>
      </c>
      <c r="BH162" s="54">
        <f t="shared" si="130"/>
        <v>0</v>
      </c>
      <c r="BI162" s="54">
        <f t="shared" si="131"/>
        <v>0</v>
      </c>
    </row>
    <row r="163" spans="1:61" ht="12.75">
      <c r="A163" s="44" t="s">
        <v>215</v>
      </c>
      <c r="B163" s="44" t="s">
        <v>366</v>
      </c>
      <c r="C163" s="160" t="s">
        <v>548</v>
      </c>
      <c r="D163" s="161"/>
      <c r="E163" s="161"/>
      <c r="F163" s="44" t="s">
        <v>593</v>
      </c>
      <c r="G163" s="54">
        <v>12</v>
      </c>
      <c r="H163" s="54">
        <v>0</v>
      </c>
      <c r="I163" s="54">
        <f t="shared" si="110"/>
        <v>0</v>
      </c>
      <c r="J163" s="54">
        <f t="shared" si="111"/>
        <v>0</v>
      </c>
      <c r="K163" s="54">
        <f t="shared" si="112"/>
        <v>0</v>
      </c>
      <c r="Y163" s="36">
        <f t="shared" si="113"/>
        <v>0</v>
      </c>
      <c r="AA163" s="36">
        <f t="shared" si="114"/>
        <v>0</v>
      </c>
      <c r="AB163" s="36">
        <f t="shared" si="115"/>
        <v>0</v>
      </c>
      <c r="AC163" s="36">
        <f t="shared" si="116"/>
        <v>0</v>
      </c>
      <c r="AD163" s="36">
        <f t="shared" si="117"/>
        <v>0</v>
      </c>
      <c r="AE163" s="36">
        <f t="shared" si="118"/>
        <v>0</v>
      </c>
      <c r="AF163" s="36">
        <f t="shared" si="119"/>
        <v>0</v>
      </c>
      <c r="AG163" s="36">
        <f t="shared" si="120"/>
        <v>0</v>
      </c>
      <c r="AH163" s="59" t="s">
        <v>73</v>
      </c>
      <c r="AI163" s="54">
        <f t="shared" si="121"/>
        <v>0</v>
      </c>
      <c r="AJ163" s="54">
        <f t="shared" si="122"/>
        <v>0</v>
      </c>
      <c r="AK163" s="54">
        <f t="shared" si="123"/>
        <v>0</v>
      </c>
      <c r="AM163" s="36">
        <v>21</v>
      </c>
      <c r="AN163" s="36">
        <f>H163*0.351293814278432</f>
        <v>0</v>
      </c>
      <c r="AO163" s="36">
        <f>H163*(1-0.351293814278432)</f>
        <v>0</v>
      </c>
      <c r="AP163" s="60" t="s">
        <v>121</v>
      </c>
      <c r="AU163" s="36">
        <f t="shared" si="124"/>
        <v>0</v>
      </c>
      <c r="AV163" s="36">
        <f t="shared" si="125"/>
        <v>0</v>
      </c>
      <c r="AW163" s="36">
        <f t="shared" si="126"/>
        <v>0</v>
      </c>
      <c r="AX163" s="62" t="s">
        <v>640</v>
      </c>
      <c r="AY163" s="62" t="s">
        <v>656</v>
      </c>
      <c r="AZ163" s="59" t="s">
        <v>664</v>
      </c>
      <c r="BB163" s="36">
        <f t="shared" si="127"/>
        <v>0</v>
      </c>
      <c r="BC163" s="36">
        <f t="shared" si="128"/>
        <v>0</v>
      </c>
      <c r="BD163" s="36">
        <v>0</v>
      </c>
      <c r="BE163" s="36">
        <f>163</f>
        <v>163</v>
      </c>
      <c r="BG163" s="54">
        <f t="shared" si="129"/>
        <v>0</v>
      </c>
      <c r="BH163" s="54">
        <f t="shared" si="130"/>
        <v>0</v>
      </c>
      <c r="BI163" s="54">
        <f t="shared" si="131"/>
        <v>0</v>
      </c>
    </row>
    <row r="164" spans="1:61" ht="12.75">
      <c r="A164" s="44" t="s">
        <v>216</v>
      </c>
      <c r="B164" s="44" t="s">
        <v>367</v>
      </c>
      <c r="C164" s="160" t="s">
        <v>549</v>
      </c>
      <c r="D164" s="161"/>
      <c r="E164" s="161"/>
      <c r="F164" s="44" t="s">
        <v>593</v>
      </c>
      <c r="G164" s="54">
        <v>6</v>
      </c>
      <c r="H164" s="54">
        <v>0</v>
      </c>
      <c r="I164" s="54">
        <f t="shared" si="110"/>
        <v>0</v>
      </c>
      <c r="J164" s="54">
        <f t="shared" si="111"/>
        <v>0</v>
      </c>
      <c r="K164" s="54">
        <f t="shared" si="112"/>
        <v>0</v>
      </c>
      <c r="Y164" s="36">
        <f t="shared" si="113"/>
        <v>0</v>
      </c>
      <c r="AA164" s="36">
        <f t="shared" si="114"/>
        <v>0</v>
      </c>
      <c r="AB164" s="36">
        <f t="shared" si="115"/>
        <v>0</v>
      </c>
      <c r="AC164" s="36">
        <f t="shared" si="116"/>
        <v>0</v>
      </c>
      <c r="AD164" s="36">
        <f t="shared" si="117"/>
        <v>0</v>
      </c>
      <c r="AE164" s="36">
        <f t="shared" si="118"/>
        <v>0</v>
      </c>
      <c r="AF164" s="36">
        <f t="shared" si="119"/>
        <v>0</v>
      </c>
      <c r="AG164" s="36">
        <f t="shared" si="120"/>
        <v>0</v>
      </c>
      <c r="AH164" s="59" t="s">
        <v>73</v>
      </c>
      <c r="AI164" s="54">
        <f t="shared" si="121"/>
        <v>0</v>
      </c>
      <c r="AJ164" s="54">
        <f t="shared" si="122"/>
        <v>0</v>
      </c>
      <c r="AK164" s="54">
        <f t="shared" si="123"/>
        <v>0</v>
      </c>
      <c r="AM164" s="36">
        <v>21</v>
      </c>
      <c r="AN164" s="36">
        <f>H164*0.32483300589391</f>
        <v>0</v>
      </c>
      <c r="AO164" s="36">
        <f>H164*(1-0.32483300589391)</f>
        <v>0</v>
      </c>
      <c r="AP164" s="60" t="s">
        <v>121</v>
      </c>
      <c r="AU164" s="36">
        <f t="shared" si="124"/>
        <v>0</v>
      </c>
      <c r="AV164" s="36">
        <f t="shared" si="125"/>
        <v>0</v>
      </c>
      <c r="AW164" s="36">
        <f t="shared" si="126"/>
        <v>0</v>
      </c>
      <c r="AX164" s="62" t="s">
        <v>640</v>
      </c>
      <c r="AY164" s="62" t="s">
        <v>656</v>
      </c>
      <c r="AZ164" s="59" t="s">
        <v>664</v>
      </c>
      <c r="BB164" s="36">
        <f t="shared" si="127"/>
        <v>0</v>
      </c>
      <c r="BC164" s="36">
        <f t="shared" si="128"/>
        <v>0</v>
      </c>
      <c r="BD164" s="36">
        <v>0</v>
      </c>
      <c r="BE164" s="36">
        <f>164</f>
        <v>164</v>
      </c>
      <c r="BG164" s="54">
        <f t="shared" si="129"/>
        <v>0</v>
      </c>
      <c r="BH164" s="54">
        <f t="shared" si="130"/>
        <v>0</v>
      </c>
      <c r="BI164" s="54">
        <f t="shared" si="131"/>
        <v>0</v>
      </c>
    </row>
    <row r="165" spans="1:61" ht="12.75">
      <c r="A165" s="44" t="s">
        <v>217</v>
      </c>
      <c r="B165" s="44" t="s">
        <v>368</v>
      </c>
      <c r="C165" s="160" t="s">
        <v>550</v>
      </c>
      <c r="D165" s="161"/>
      <c r="E165" s="161"/>
      <c r="F165" s="44" t="s">
        <v>593</v>
      </c>
      <c r="G165" s="54">
        <v>18</v>
      </c>
      <c r="H165" s="54">
        <v>0</v>
      </c>
      <c r="I165" s="54">
        <f t="shared" si="110"/>
        <v>0</v>
      </c>
      <c r="J165" s="54">
        <f t="shared" si="111"/>
        <v>0</v>
      </c>
      <c r="K165" s="54">
        <f t="shared" si="112"/>
        <v>0</v>
      </c>
      <c r="Y165" s="36">
        <f t="shared" si="113"/>
        <v>0</v>
      </c>
      <c r="AA165" s="36">
        <f t="shared" si="114"/>
        <v>0</v>
      </c>
      <c r="AB165" s="36">
        <f t="shared" si="115"/>
        <v>0</v>
      </c>
      <c r="AC165" s="36">
        <f t="shared" si="116"/>
        <v>0</v>
      </c>
      <c r="AD165" s="36">
        <f t="shared" si="117"/>
        <v>0</v>
      </c>
      <c r="AE165" s="36">
        <f t="shared" si="118"/>
        <v>0</v>
      </c>
      <c r="AF165" s="36">
        <f t="shared" si="119"/>
        <v>0</v>
      </c>
      <c r="AG165" s="36">
        <f t="shared" si="120"/>
        <v>0</v>
      </c>
      <c r="AH165" s="59" t="s">
        <v>73</v>
      </c>
      <c r="AI165" s="54">
        <f t="shared" si="121"/>
        <v>0</v>
      </c>
      <c r="AJ165" s="54">
        <f t="shared" si="122"/>
        <v>0</v>
      </c>
      <c r="AK165" s="54">
        <f t="shared" si="123"/>
        <v>0</v>
      </c>
      <c r="AM165" s="36">
        <v>21</v>
      </c>
      <c r="AN165" s="36">
        <f>H165*0</f>
        <v>0</v>
      </c>
      <c r="AO165" s="36">
        <f>H165*(1-0)</f>
        <v>0</v>
      </c>
      <c r="AP165" s="60" t="s">
        <v>118</v>
      </c>
      <c r="AU165" s="36">
        <f t="shared" si="124"/>
        <v>0</v>
      </c>
      <c r="AV165" s="36">
        <f t="shared" si="125"/>
        <v>0</v>
      </c>
      <c r="AW165" s="36">
        <f t="shared" si="126"/>
        <v>0</v>
      </c>
      <c r="AX165" s="62" t="s">
        <v>640</v>
      </c>
      <c r="AY165" s="62" t="s">
        <v>656</v>
      </c>
      <c r="AZ165" s="59" t="s">
        <v>664</v>
      </c>
      <c r="BB165" s="36">
        <f t="shared" si="127"/>
        <v>0</v>
      </c>
      <c r="BC165" s="36">
        <f t="shared" si="128"/>
        <v>0</v>
      </c>
      <c r="BD165" s="36">
        <v>0</v>
      </c>
      <c r="BE165" s="36">
        <f>165</f>
        <v>165</v>
      </c>
      <c r="BG165" s="54">
        <f t="shared" si="129"/>
        <v>0</v>
      </c>
      <c r="BH165" s="54">
        <f t="shared" si="130"/>
        <v>0</v>
      </c>
      <c r="BI165" s="54">
        <f t="shared" si="131"/>
        <v>0</v>
      </c>
    </row>
    <row r="166" spans="1:61" ht="12.75">
      <c r="A166" s="44" t="s">
        <v>218</v>
      </c>
      <c r="B166" s="44" t="s">
        <v>369</v>
      </c>
      <c r="C166" s="160" t="s">
        <v>551</v>
      </c>
      <c r="D166" s="161"/>
      <c r="E166" s="161"/>
      <c r="F166" s="44" t="s">
        <v>593</v>
      </c>
      <c r="G166" s="54">
        <v>6.3</v>
      </c>
      <c r="H166" s="54">
        <v>0</v>
      </c>
      <c r="I166" s="54">
        <f t="shared" si="110"/>
        <v>0</v>
      </c>
      <c r="J166" s="54">
        <f t="shared" si="111"/>
        <v>0</v>
      </c>
      <c r="K166" s="54">
        <f t="shared" si="112"/>
        <v>0</v>
      </c>
      <c r="Y166" s="36">
        <f t="shared" si="113"/>
        <v>0</v>
      </c>
      <c r="AA166" s="36">
        <f t="shared" si="114"/>
        <v>0</v>
      </c>
      <c r="AB166" s="36">
        <f t="shared" si="115"/>
        <v>0</v>
      </c>
      <c r="AC166" s="36">
        <f t="shared" si="116"/>
        <v>0</v>
      </c>
      <c r="AD166" s="36">
        <f t="shared" si="117"/>
        <v>0</v>
      </c>
      <c r="AE166" s="36">
        <f t="shared" si="118"/>
        <v>0</v>
      </c>
      <c r="AF166" s="36">
        <f t="shared" si="119"/>
        <v>0</v>
      </c>
      <c r="AG166" s="36">
        <f t="shared" si="120"/>
        <v>0</v>
      </c>
      <c r="AH166" s="59" t="s">
        <v>73</v>
      </c>
      <c r="AI166" s="54">
        <f t="shared" si="121"/>
        <v>0</v>
      </c>
      <c r="AJ166" s="54">
        <f t="shared" si="122"/>
        <v>0</v>
      </c>
      <c r="AK166" s="54">
        <f t="shared" si="123"/>
        <v>0</v>
      </c>
      <c r="AM166" s="36">
        <v>21</v>
      </c>
      <c r="AN166" s="36">
        <f>H166*0.339827586206897</f>
        <v>0</v>
      </c>
      <c r="AO166" s="36">
        <f>H166*(1-0.339827586206897)</f>
        <v>0</v>
      </c>
      <c r="AP166" s="60" t="s">
        <v>121</v>
      </c>
      <c r="AU166" s="36">
        <f t="shared" si="124"/>
        <v>0</v>
      </c>
      <c r="AV166" s="36">
        <f t="shared" si="125"/>
        <v>0</v>
      </c>
      <c r="AW166" s="36">
        <f t="shared" si="126"/>
        <v>0</v>
      </c>
      <c r="AX166" s="62" t="s">
        <v>640</v>
      </c>
      <c r="AY166" s="62" t="s">
        <v>656</v>
      </c>
      <c r="AZ166" s="59" t="s">
        <v>664</v>
      </c>
      <c r="BB166" s="36">
        <f t="shared" si="127"/>
        <v>0</v>
      </c>
      <c r="BC166" s="36">
        <f t="shared" si="128"/>
        <v>0</v>
      </c>
      <c r="BD166" s="36">
        <v>0</v>
      </c>
      <c r="BE166" s="36">
        <f>166</f>
        <v>166</v>
      </c>
      <c r="BG166" s="54">
        <f t="shared" si="129"/>
        <v>0</v>
      </c>
      <c r="BH166" s="54">
        <f t="shared" si="130"/>
        <v>0</v>
      </c>
      <c r="BI166" s="54">
        <f t="shared" si="131"/>
        <v>0</v>
      </c>
    </row>
    <row r="167" spans="1:61" ht="12.75">
      <c r="A167" s="44" t="s">
        <v>219</v>
      </c>
      <c r="B167" s="44" t="s">
        <v>370</v>
      </c>
      <c r="C167" s="160" t="s">
        <v>552</v>
      </c>
      <c r="D167" s="161"/>
      <c r="E167" s="161"/>
      <c r="F167" s="44" t="s">
        <v>593</v>
      </c>
      <c r="G167" s="54">
        <v>6.3</v>
      </c>
      <c r="H167" s="54">
        <v>0</v>
      </c>
      <c r="I167" s="54">
        <f t="shared" si="110"/>
        <v>0</v>
      </c>
      <c r="J167" s="54">
        <f t="shared" si="111"/>
        <v>0</v>
      </c>
      <c r="K167" s="54">
        <f t="shared" si="112"/>
        <v>0</v>
      </c>
      <c r="Y167" s="36">
        <f t="shared" si="113"/>
        <v>0</v>
      </c>
      <c r="AA167" s="36">
        <f t="shared" si="114"/>
        <v>0</v>
      </c>
      <c r="AB167" s="36">
        <f t="shared" si="115"/>
        <v>0</v>
      </c>
      <c r="AC167" s="36">
        <f t="shared" si="116"/>
        <v>0</v>
      </c>
      <c r="AD167" s="36">
        <f t="shared" si="117"/>
        <v>0</v>
      </c>
      <c r="AE167" s="36">
        <f t="shared" si="118"/>
        <v>0</v>
      </c>
      <c r="AF167" s="36">
        <f t="shared" si="119"/>
        <v>0</v>
      </c>
      <c r="AG167" s="36">
        <f t="shared" si="120"/>
        <v>0</v>
      </c>
      <c r="AH167" s="59" t="s">
        <v>73</v>
      </c>
      <c r="AI167" s="54">
        <f t="shared" si="121"/>
        <v>0</v>
      </c>
      <c r="AJ167" s="54">
        <f t="shared" si="122"/>
        <v>0</v>
      </c>
      <c r="AK167" s="54">
        <f t="shared" si="123"/>
        <v>0</v>
      </c>
      <c r="AM167" s="36">
        <v>21</v>
      </c>
      <c r="AN167" s="36">
        <f>H167*0</f>
        <v>0</v>
      </c>
      <c r="AO167" s="36">
        <f>H167*(1-0)</f>
        <v>0</v>
      </c>
      <c r="AP167" s="60" t="s">
        <v>118</v>
      </c>
      <c r="AU167" s="36">
        <f t="shared" si="124"/>
        <v>0</v>
      </c>
      <c r="AV167" s="36">
        <f t="shared" si="125"/>
        <v>0</v>
      </c>
      <c r="AW167" s="36">
        <f t="shared" si="126"/>
        <v>0</v>
      </c>
      <c r="AX167" s="62" t="s">
        <v>640</v>
      </c>
      <c r="AY167" s="62" t="s">
        <v>656</v>
      </c>
      <c r="AZ167" s="59" t="s">
        <v>664</v>
      </c>
      <c r="BB167" s="36">
        <f t="shared" si="127"/>
        <v>0</v>
      </c>
      <c r="BC167" s="36">
        <f t="shared" si="128"/>
        <v>0</v>
      </c>
      <c r="BD167" s="36">
        <v>0</v>
      </c>
      <c r="BE167" s="36">
        <f>167</f>
        <v>167</v>
      </c>
      <c r="BG167" s="54">
        <f t="shared" si="129"/>
        <v>0</v>
      </c>
      <c r="BH167" s="54">
        <f t="shared" si="130"/>
        <v>0</v>
      </c>
      <c r="BI167" s="54">
        <f t="shared" si="131"/>
        <v>0</v>
      </c>
    </row>
    <row r="168" spans="1:61" ht="12.75">
      <c r="A168" s="44" t="s">
        <v>220</v>
      </c>
      <c r="B168" s="44" t="s">
        <v>371</v>
      </c>
      <c r="C168" s="160" t="s">
        <v>553</v>
      </c>
      <c r="D168" s="161"/>
      <c r="E168" s="161"/>
      <c r="F168" s="44" t="s">
        <v>594</v>
      </c>
      <c r="G168" s="54">
        <v>3</v>
      </c>
      <c r="H168" s="54">
        <v>0</v>
      </c>
      <c r="I168" s="54">
        <f t="shared" si="110"/>
        <v>0</v>
      </c>
      <c r="J168" s="54">
        <f t="shared" si="111"/>
        <v>0</v>
      </c>
      <c r="K168" s="54">
        <f t="shared" si="112"/>
        <v>0</v>
      </c>
      <c r="Y168" s="36">
        <f t="shared" si="113"/>
        <v>0</v>
      </c>
      <c r="AA168" s="36">
        <f t="shared" si="114"/>
        <v>0</v>
      </c>
      <c r="AB168" s="36">
        <f t="shared" si="115"/>
        <v>0</v>
      </c>
      <c r="AC168" s="36">
        <f t="shared" si="116"/>
        <v>0</v>
      </c>
      <c r="AD168" s="36">
        <f t="shared" si="117"/>
        <v>0</v>
      </c>
      <c r="AE168" s="36">
        <f t="shared" si="118"/>
        <v>0</v>
      </c>
      <c r="AF168" s="36">
        <f t="shared" si="119"/>
        <v>0</v>
      </c>
      <c r="AG168" s="36">
        <f t="shared" si="120"/>
        <v>0</v>
      </c>
      <c r="AH168" s="59" t="s">
        <v>73</v>
      </c>
      <c r="AI168" s="54">
        <f t="shared" si="121"/>
        <v>0</v>
      </c>
      <c r="AJ168" s="54">
        <f t="shared" si="122"/>
        <v>0</v>
      </c>
      <c r="AK168" s="54">
        <f t="shared" si="123"/>
        <v>0</v>
      </c>
      <c r="AM168" s="36">
        <v>21</v>
      </c>
      <c r="AN168" s="36">
        <f>H168*0</f>
        <v>0</v>
      </c>
      <c r="AO168" s="36">
        <f>H168*(1-0)</f>
        <v>0</v>
      </c>
      <c r="AP168" s="60" t="s">
        <v>121</v>
      </c>
      <c r="AU168" s="36">
        <f t="shared" si="124"/>
        <v>0</v>
      </c>
      <c r="AV168" s="36">
        <f t="shared" si="125"/>
        <v>0</v>
      </c>
      <c r="AW168" s="36">
        <f t="shared" si="126"/>
        <v>0</v>
      </c>
      <c r="AX168" s="62" t="s">
        <v>640</v>
      </c>
      <c r="AY168" s="62" t="s">
        <v>656</v>
      </c>
      <c r="AZ168" s="59" t="s">
        <v>664</v>
      </c>
      <c r="BB168" s="36">
        <f t="shared" si="127"/>
        <v>0</v>
      </c>
      <c r="BC168" s="36">
        <f t="shared" si="128"/>
        <v>0</v>
      </c>
      <c r="BD168" s="36">
        <v>0</v>
      </c>
      <c r="BE168" s="36">
        <f>168</f>
        <v>168</v>
      </c>
      <c r="BG168" s="54">
        <f t="shared" si="129"/>
        <v>0</v>
      </c>
      <c r="BH168" s="54">
        <f t="shared" si="130"/>
        <v>0</v>
      </c>
      <c r="BI168" s="54">
        <f t="shared" si="131"/>
        <v>0</v>
      </c>
    </row>
    <row r="169" spans="1:61" ht="12.75">
      <c r="A169" s="44" t="s">
        <v>221</v>
      </c>
      <c r="B169" s="44" t="s">
        <v>372</v>
      </c>
      <c r="C169" s="160" t="s">
        <v>554</v>
      </c>
      <c r="D169" s="161"/>
      <c r="E169" s="161"/>
      <c r="F169" s="44" t="s">
        <v>594</v>
      </c>
      <c r="G169" s="54">
        <v>21</v>
      </c>
      <c r="H169" s="54">
        <v>0</v>
      </c>
      <c r="I169" s="54">
        <f t="shared" si="110"/>
        <v>0</v>
      </c>
      <c r="J169" s="54">
        <f t="shared" si="111"/>
        <v>0</v>
      </c>
      <c r="K169" s="54">
        <f t="shared" si="112"/>
        <v>0</v>
      </c>
      <c r="Y169" s="36">
        <f t="shared" si="113"/>
        <v>0</v>
      </c>
      <c r="AA169" s="36">
        <f t="shared" si="114"/>
        <v>0</v>
      </c>
      <c r="AB169" s="36">
        <f t="shared" si="115"/>
        <v>0</v>
      </c>
      <c r="AC169" s="36">
        <f t="shared" si="116"/>
        <v>0</v>
      </c>
      <c r="AD169" s="36">
        <f t="shared" si="117"/>
        <v>0</v>
      </c>
      <c r="AE169" s="36">
        <f t="shared" si="118"/>
        <v>0</v>
      </c>
      <c r="AF169" s="36">
        <f t="shared" si="119"/>
        <v>0</v>
      </c>
      <c r="AG169" s="36">
        <f t="shared" si="120"/>
        <v>0</v>
      </c>
      <c r="AH169" s="59" t="s">
        <v>73</v>
      </c>
      <c r="AI169" s="54">
        <f t="shared" si="121"/>
        <v>0</v>
      </c>
      <c r="AJ169" s="54">
        <f t="shared" si="122"/>
        <v>0</v>
      </c>
      <c r="AK169" s="54">
        <f t="shared" si="123"/>
        <v>0</v>
      </c>
      <c r="AM169" s="36">
        <v>21</v>
      </c>
      <c r="AN169" s="36">
        <f>H169*0</f>
        <v>0</v>
      </c>
      <c r="AO169" s="36">
        <f>H169*(1-0)</f>
        <v>0</v>
      </c>
      <c r="AP169" s="60" t="s">
        <v>121</v>
      </c>
      <c r="AU169" s="36">
        <f t="shared" si="124"/>
        <v>0</v>
      </c>
      <c r="AV169" s="36">
        <f t="shared" si="125"/>
        <v>0</v>
      </c>
      <c r="AW169" s="36">
        <f t="shared" si="126"/>
        <v>0</v>
      </c>
      <c r="AX169" s="62" t="s">
        <v>640</v>
      </c>
      <c r="AY169" s="62" t="s">
        <v>656</v>
      </c>
      <c r="AZ169" s="59" t="s">
        <v>664</v>
      </c>
      <c r="BB169" s="36">
        <f t="shared" si="127"/>
        <v>0</v>
      </c>
      <c r="BC169" s="36">
        <f t="shared" si="128"/>
        <v>0</v>
      </c>
      <c r="BD169" s="36">
        <v>0</v>
      </c>
      <c r="BE169" s="36">
        <f>169</f>
        <v>169</v>
      </c>
      <c r="BG169" s="54">
        <f t="shared" si="129"/>
        <v>0</v>
      </c>
      <c r="BH169" s="54">
        <f t="shared" si="130"/>
        <v>0</v>
      </c>
      <c r="BI169" s="54">
        <f t="shared" si="131"/>
        <v>0</v>
      </c>
    </row>
    <row r="170" spans="1:61" ht="12.75">
      <c r="A170" s="44" t="s">
        <v>222</v>
      </c>
      <c r="B170" s="44" t="s">
        <v>357</v>
      </c>
      <c r="C170" s="160" t="s">
        <v>539</v>
      </c>
      <c r="D170" s="161"/>
      <c r="E170" s="161"/>
      <c r="F170" s="44" t="s">
        <v>66</v>
      </c>
      <c r="G170" s="54">
        <v>959.9</v>
      </c>
      <c r="H170" s="54">
        <v>0</v>
      </c>
      <c r="I170" s="54">
        <f t="shared" si="110"/>
        <v>0</v>
      </c>
      <c r="J170" s="54">
        <f t="shared" si="111"/>
        <v>0</v>
      </c>
      <c r="K170" s="54">
        <f t="shared" si="112"/>
        <v>0</v>
      </c>
      <c r="Y170" s="36">
        <f t="shared" si="113"/>
        <v>0</v>
      </c>
      <c r="AA170" s="36">
        <f t="shared" si="114"/>
        <v>0</v>
      </c>
      <c r="AB170" s="36">
        <f t="shared" si="115"/>
        <v>0</v>
      </c>
      <c r="AC170" s="36">
        <f t="shared" si="116"/>
        <v>0</v>
      </c>
      <c r="AD170" s="36">
        <f t="shared" si="117"/>
        <v>0</v>
      </c>
      <c r="AE170" s="36">
        <f t="shared" si="118"/>
        <v>0</v>
      </c>
      <c r="AF170" s="36">
        <f t="shared" si="119"/>
        <v>0</v>
      </c>
      <c r="AG170" s="36">
        <f t="shared" si="120"/>
        <v>0</v>
      </c>
      <c r="AH170" s="59" t="s">
        <v>73</v>
      </c>
      <c r="AI170" s="54">
        <f t="shared" si="121"/>
        <v>0</v>
      </c>
      <c r="AJ170" s="54">
        <f t="shared" si="122"/>
        <v>0</v>
      </c>
      <c r="AK170" s="54">
        <f t="shared" si="123"/>
        <v>0</v>
      </c>
      <c r="AM170" s="36">
        <v>21</v>
      </c>
      <c r="AN170" s="36">
        <f>H170*0</f>
        <v>0</v>
      </c>
      <c r="AO170" s="36">
        <f>H170*(1-0)</f>
        <v>0</v>
      </c>
      <c r="AP170" s="60" t="s">
        <v>118</v>
      </c>
      <c r="AU170" s="36">
        <f t="shared" si="124"/>
        <v>0</v>
      </c>
      <c r="AV170" s="36">
        <f t="shared" si="125"/>
        <v>0</v>
      </c>
      <c r="AW170" s="36">
        <f t="shared" si="126"/>
        <v>0</v>
      </c>
      <c r="AX170" s="62" t="s">
        <v>640</v>
      </c>
      <c r="AY170" s="62" t="s">
        <v>656</v>
      </c>
      <c r="AZ170" s="59" t="s">
        <v>664</v>
      </c>
      <c r="BB170" s="36">
        <f t="shared" si="127"/>
        <v>0</v>
      </c>
      <c r="BC170" s="36">
        <f t="shared" si="128"/>
        <v>0</v>
      </c>
      <c r="BD170" s="36">
        <v>0</v>
      </c>
      <c r="BE170" s="36">
        <f>170</f>
        <v>170</v>
      </c>
      <c r="BG170" s="54">
        <f t="shared" si="129"/>
        <v>0</v>
      </c>
      <c r="BH170" s="54">
        <f t="shared" si="130"/>
        <v>0</v>
      </c>
      <c r="BI170" s="54">
        <f t="shared" si="131"/>
        <v>0</v>
      </c>
    </row>
    <row r="171" spans="1:61" ht="12.75">
      <c r="A171" s="44" t="s">
        <v>223</v>
      </c>
      <c r="B171" s="44" t="s">
        <v>373</v>
      </c>
      <c r="C171" s="160" t="s">
        <v>555</v>
      </c>
      <c r="D171" s="161"/>
      <c r="E171" s="161"/>
      <c r="F171" s="44" t="s">
        <v>592</v>
      </c>
      <c r="G171" s="54">
        <v>0.03</v>
      </c>
      <c r="H171" s="54">
        <v>0</v>
      </c>
      <c r="I171" s="54">
        <f t="shared" si="110"/>
        <v>0</v>
      </c>
      <c r="J171" s="54">
        <f t="shared" si="111"/>
        <v>0</v>
      </c>
      <c r="K171" s="54">
        <f t="shared" si="112"/>
        <v>0</v>
      </c>
      <c r="Y171" s="36">
        <f t="shared" si="113"/>
        <v>0</v>
      </c>
      <c r="AA171" s="36">
        <f t="shared" si="114"/>
        <v>0</v>
      </c>
      <c r="AB171" s="36">
        <f t="shared" si="115"/>
        <v>0</v>
      </c>
      <c r="AC171" s="36">
        <f t="shared" si="116"/>
        <v>0</v>
      </c>
      <c r="AD171" s="36">
        <f t="shared" si="117"/>
        <v>0</v>
      </c>
      <c r="AE171" s="36">
        <f t="shared" si="118"/>
        <v>0</v>
      </c>
      <c r="AF171" s="36">
        <f t="shared" si="119"/>
        <v>0</v>
      </c>
      <c r="AG171" s="36">
        <f t="shared" si="120"/>
        <v>0</v>
      </c>
      <c r="AH171" s="59" t="s">
        <v>73</v>
      </c>
      <c r="AI171" s="54">
        <f t="shared" si="121"/>
        <v>0</v>
      </c>
      <c r="AJ171" s="54">
        <f t="shared" si="122"/>
        <v>0</v>
      </c>
      <c r="AK171" s="54">
        <f t="shared" si="123"/>
        <v>0</v>
      </c>
      <c r="AM171" s="36">
        <v>21</v>
      </c>
      <c r="AN171" s="36">
        <f>H171*0</f>
        <v>0</v>
      </c>
      <c r="AO171" s="36">
        <f>H171*(1-0)</f>
        <v>0</v>
      </c>
      <c r="AP171" s="60" t="s">
        <v>120</v>
      </c>
      <c r="AU171" s="36">
        <f t="shared" si="124"/>
        <v>0</v>
      </c>
      <c r="AV171" s="36">
        <f t="shared" si="125"/>
        <v>0</v>
      </c>
      <c r="AW171" s="36">
        <f t="shared" si="126"/>
        <v>0</v>
      </c>
      <c r="AX171" s="62" t="s">
        <v>640</v>
      </c>
      <c r="AY171" s="62" t="s">
        <v>656</v>
      </c>
      <c r="AZ171" s="59" t="s">
        <v>664</v>
      </c>
      <c r="BB171" s="36">
        <f t="shared" si="127"/>
        <v>0</v>
      </c>
      <c r="BC171" s="36">
        <f t="shared" si="128"/>
        <v>0</v>
      </c>
      <c r="BD171" s="36">
        <v>0</v>
      </c>
      <c r="BE171" s="36">
        <f>171</f>
        <v>171</v>
      </c>
      <c r="BG171" s="54">
        <f t="shared" si="129"/>
        <v>0</v>
      </c>
      <c r="BH171" s="54">
        <f t="shared" si="130"/>
        <v>0</v>
      </c>
      <c r="BI171" s="54">
        <f t="shared" si="131"/>
        <v>0</v>
      </c>
    </row>
    <row r="172" spans="1:46" ht="12.75">
      <c r="A172" s="43"/>
      <c r="B172" s="51" t="s">
        <v>195</v>
      </c>
      <c r="C172" s="158" t="s">
        <v>556</v>
      </c>
      <c r="D172" s="159"/>
      <c r="E172" s="159"/>
      <c r="F172" s="43" t="s">
        <v>69</v>
      </c>
      <c r="G172" s="43" t="s">
        <v>69</v>
      </c>
      <c r="H172" s="43" t="s">
        <v>69</v>
      </c>
      <c r="I172" s="64">
        <f>SUM(I173:I173)</f>
        <v>0</v>
      </c>
      <c r="J172" s="64">
        <f>SUM(J173:J173)</f>
        <v>0</v>
      </c>
      <c r="K172" s="64">
        <f>SUM(K173:K173)</f>
        <v>0</v>
      </c>
      <c r="AH172" s="59" t="s">
        <v>73</v>
      </c>
      <c r="AR172" s="64">
        <f>SUM(AI173:AI173)</f>
        <v>0</v>
      </c>
      <c r="AS172" s="64">
        <f>SUM(AJ173:AJ173)</f>
        <v>0</v>
      </c>
      <c r="AT172" s="64">
        <f>SUM(AK173:AK173)</f>
        <v>0</v>
      </c>
    </row>
    <row r="173" spans="1:61" ht="12.75">
      <c r="A173" s="44" t="s">
        <v>224</v>
      </c>
      <c r="B173" s="44" t="s">
        <v>374</v>
      </c>
      <c r="C173" s="160" t="s">
        <v>557</v>
      </c>
      <c r="D173" s="161"/>
      <c r="E173" s="161"/>
      <c r="F173" s="44" t="s">
        <v>599</v>
      </c>
      <c r="G173" s="54">
        <v>3</v>
      </c>
      <c r="H173" s="54">
        <v>0</v>
      </c>
      <c r="I173" s="54">
        <f>G173*AN173</f>
        <v>0</v>
      </c>
      <c r="J173" s="54">
        <f>G173*AO173</f>
        <v>0</v>
      </c>
      <c r="K173" s="54">
        <f>G173*H173</f>
        <v>0</v>
      </c>
      <c r="Y173" s="36">
        <f>IF(AP173="5",BI173,0)</f>
        <v>0</v>
      </c>
      <c r="AA173" s="36">
        <f>IF(AP173="1",BG173,0)</f>
        <v>0</v>
      </c>
      <c r="AB173" s="36">
        <f>IF(AP173="1",BH173,0)</f>
        <v>0</v>
      </c>
      <c r="AC173" s="36">
        <f>IF(AP173="7",BG173,0)</f>
        <v>0</v>
      </c>
      <c r="AD173" s="36">
        <f>IF(AP173="7",BH173,0)</f>
        <v>0</v>
      </c>
      <c r="AE173" s="36">
        <f>IF(AP173="2",BG173,0)</f>
        <v>0</v>
      </c>
      <c r="AF173" s="36">
        <f>IF(AP173="2",BH173,0)</f>
        <v>0</v>
      </c>
      <c r="AG173" s="36">
        <f>IF(AP173="0",BI173,0)</f>
        <v>0</v>
      </c>
      <c r="AH173" s="59" t="s">
        <v>73</v>
      </c>
      <c r="AI173" s="54">
        <f>IF(AM173=0,K173,0)</f>
        <v>0</v>
      </c>
      <c r="AJ173" s="54">
        <f>IF(AM173=15,K173,0)</f>
        <v>0</v>
      </c>
      <c r="AK173" s="54">
        <f>IF(AM173=21,K173,0)</f>
        <v>0</v>
      </c>
      <c r="AM173" s="36">
        <v>21</v>
      </c>
      <c r="AN173" s="36">
        <f>H173*0</f>
        <v>0</v>
      </c>
      <c r="AO173" s="36">
        <f>H173*(1-0)</f>
        <v>0</v>
      </c>
      <c r="AP173" s="60" t="s">
        <v>117</v>
      </c>
      <c r="AU173" s="36">
        <f>AV173+AW173</f>
        <v>0</v>
      </c>
      <c r="AV173" s="36">
        <f>G173*AN173</f>
        <v>0</v>
      </c>
      <c r="AW173" s="36">
        <f>G173*AO173</f>
        <v>0</v>
      </c>
      <c r="AX173" s="62" t="s">
        <v>641</v>
      </c>
      <c r="AY173" s="62" t="s">
        <v>657</v>
      </c>
      <c r="AZ173" s="59" t="s">
        <v>664</v>
      </c>
      <c r="BB173" s="36">
        <f>AV173+AW173</f>
        <v>0</v>
      </c>
      <c r="BC173" s="36">
        <f>H173/(100-BD173)*100</f>
        <v>0</v>
      </c>
      <c r="BD173" s="36">
        <v>0</v>
      </c>
      <c r="BE173" s="36">
        <f>173</f>
        <v>173</v>
      </c>
      <c r="BG173" s="54">
        <f>G173*AN173</f>
        <v>0</v>
      </c>
      <c r="BH173" s="54">
        <f>G173*AO173</f>
        <v>0</v>
      </c>
      <c r="BI173" s="54">
        <f>G173*H173</f>
        <v>0</v>
      </c>
    </row>
    <row r="174" spans="1:46" ht="12.75">
      <c r="A174" s="43"/>
      <c r="B174" s="51" t="s">
        <v>196</v>
      </c>
      <c r="C174" s="158" t="s">
        <v>476</v>
      </c>
      <c r="D174" s="159"/>
      <c r="E174" s="159"/>
      <c r="F174" s="43" t="s">
        <v>69</v>
      </c>
      <c r="G174" s="43" t="s">
        <v>69</v>
      </c>
      <c r="H174" s="43" t="s">
        <v>69</v>
      </c>
      <c r="I174" s="64">
        <f>SUM(I175:I175)</f>
        <v>0</v>
      </c>
      <c r="J174" s="64">
        <f>SUM(J175:J175)</f>
        <v>0</v>
      </c>
      <c r="K174" s="64">
        <f>SUM(K175:K175)</f>
        <v>0</v>
      </c>
      <c r="AH174" s="59" t="s">
        <v>73</v>
      </c>
      <c r="AR174" s="64">
        <f>SUM(AI175:AI175)</f>
        <v>0</v>
      </c>
      <c r="AS174" s="64">
        <f>SUM(AJ175:AJ175)</f>
        <v>0</v>
      </c>
      <c r="AT174" s="64">
        <f>SUM(AK175:AK175)</f>
        <v>0</v>
      </c>
    </row>
    <row r="175" spans="1:61" ht="12.75">
      <c r="A175" s="44" t="s">
        <v>225</v>
      </c>
      <c r="B175" s="44" t="s">
        <v>360</v>
      </c>
      <c r="C175" s="160" t="s">
        <v>542</v>
      </c>
      <c r="D175" s="161"/>
      <c r="E175" s="161"/>
      <c r="F175" s="44" t="s">
        <v>597</v>
      </c>
      <c r="G175" s="54">
        <v>12</v>
      </c>
      <c r="H175" s="54">
        <v>0</v>
      </c>
      <c r="I175" s="54">
        <f>G175*AN175</f>
        <v>0</v>
      </c>
      <c r="J175" s="54">
        <f>G175*AO175</f>
        <v>0</v>
      </c>
      <c r="K175" s="54">
        <f>G175*H175</f>
        <v>0</v>
      </c>
      <c r="Y175" s="36">
        <f>IF(AP175="5",BI175,0)</f>
        <v>0</v>
      </c>
      <c r="AA175" s="36">
        <f>IF(AP175="1",BG175,0)</f>
        <v>0</v>
      </c>
      <c r="AB175" s="36">
        <f>IF(AP175="1",BH175,0)</f>
        <v>0</v>
      </c>
      <c r="AC175" s="36">
        <f>IF(AP175="7",BG175,0)</f>
        <v>0</v>
      </c>
      <c r="AD175" s="36">
        <f>IF(AP175="7",BH175,0)</f>
        <v>0</v>
      </c>
      <c r="AE175" s="36">
        <f>IF(AP175="2",BG175,0)</f>
        <v>0</v>
      </c>
      <c r="AF175" s="36">
        <f>IF(AP175="2",BH175,0)</f>
        <v>0</v>
      </c>
      <c r="AG175" s="36">
        <f>IF(AP175="0",BI175,0)</f>
        <v>0</v>
      </c>
      <c r="AH175" s="59" t="s">
        <v>73</v>
      </c>
      <c r="AI175" s="54">
        <f>IF(AM175=0,K175,0)</f>
        <v>0</v>
      </c>
      <c r="AJ175" s="54">
        <f>IF(AM175=15,K175,0)</f>
        <v>0</v>
      </c>
      <c r="AK175" s="54">
        <f>IF(AM175=21,K175,0)</f>
        <v>0</v>
      </c>
      <c r="AM175" s="36">
        <v>21</v>
      </c>
      <c r="AN175" s="36">
        <f>H175*0</f>
        <v>0</v>
      </c>
      <c r="AO175" s="36">
        <f>H175*(1-0)</f>
        <v>0</v>
      </c>
      <c r="AP175" s="60" t="s">
        <v>117</v>
      </c>
      <c r="AU175" s="36">
        <f>AV175+AW175</f>
        <v>0</v>
      </c>
      <c r="AV175" s="36">
        <f>G175*AN175</f>
        <v>0</v>
      </c>
      <c r="AW175" s="36">
        <f>G175*AO175</f>
        <v>0</v>
      </c>
      <c r="AX175" s="62" t="s">
        <v>630</v>
      </c>
      <c r="AY175" s="62" t="s">
        <v>658</v>
      </c>
      <c r="AZ175" s="59" t="s">
        <v>664</v>
      </c>
      <c r="BB175" s="36">
        <f>AV175+AW175</f>
        <v>0</v>
      </c>
      <c r="BC175" s="36">
        <f>H175/(100-BD175)*100</f>
        <v>0</v>
      </c>
      <c r="BD175" s="36">
        <v>0</v>
      </c>
      <c r="BE175" s="36">
        <f>175</f>
        <v>175</v>
      </c>
      <c r="BG175" s="54">
        <f>G175*AN175</f>
        <v>0</v>
      </c>
      <c r="BH175" s="54">
        <f>G175*AO175</f>
        <v>0</v>
      </c>
      <c r="BI175" s="54">
        <f>G175*H175</f>
        <v>0</v>
      </c>
    </row>
    <row r="176" spans="1:46" ht="12.75">
      <c r="A176" s="43"/>
      <c r="B176" s="51" t="s">
        <v>375</v>
      </c>
      <c r="C176" s="158" t="s">
        <v>558</v>
      </c>
      <c r="D176" s="159"/>
      <c r="E176" s="159"/>
      <c r="F176" s="43" t="s">
        <v>69</v>
      </c>
      <c r="G176" s="43" t="s">
        <v>69</v>
      </c>
      <c r="H176" s="43" t="s">
        <v>69</v>
      </c>
      <c r="I176" s="64">
        <f>SUM(I177:I177)</f>
        <v>0</v>
      </c>
      <c r="J176" s="64">
        <f>SUM(J177:J177)</f>
        <v>0</v>
      </c>
      <c r="K176" s="64">
        <f>SUM(K177:K177)</f>
        <v>0</v>
      </c>
      <c r="AH176" s="59" t="s">
        <v>73</v>
      </c>
      <c r="AR176" s="64">
        <f>SUM(AI177:AI177)</f>
        <v>0</v>
      </c>
      <c r="AS176" s="64">
        <f>SUM(AJ177:AJ177)</f>
        <v>0</v>
      </c>
      <c r="AT176" s="64">
        <f>SUM(AK177:AK177)</f>
        <v>0</v>
      </c>
    </row>
    <row r="177" spans="1:61" ht="12.75">
      <c r="A177" s="44" t="s">
        <v>226</v>
      </c>
      <c r="B177" s="44" t="s">
        <v>376</v>
      </c>
      <c r="C177" s="160" t="s">
        <v>559</v>
      </c>
      <c r="D177" s="161"/>
      <c r="E177" s="161"/>
      <c r="F177" s="44" t="s">
        <v>594</v>
      </c>
      <c r="G177" s="54">
        <v>3</v>
      </c>
      <c r="H177" s="54">
        <v>0</v>
      </c>
      <c r="I177" s="54">
        <f>G177*AN177</f>
        <v>0</v>
      </c>
      <c r="J177" s="54">
        <f>G177*AO177</f>
        <v>0</v>
      </c>
      <c r="K177" s="54">
        <f>G177*H177</f>
        <v>0</v>
      </c>
      <c r="Y177" s="36">
        <f>IF(AP177="5",BI177,0)</f>
        <v>0</v>
      </c>
      <c r="AA177" s="36">
        <f>IF(AP177="1",BG177,0)</f>
        <v>0</v>
      </c>
      <c r="AB177" s="36">
        <f>IF(AP177="1",BH177,0)</f>
        <v>0</v>
      </c>
      <c r="AC177" s="36">
        <f>IF(AP177="7",BG177,0)</f>
        <v>0</v>
      </c>
      <c r="AD177" s="36">
        <f>IF(AP177="7",BH177,0)</f>
        <v>0</v>
      </c>
      <c r="AE177" s="36">
        <f>IF(AP177="2",BG177,0)</f>
        <v>0</v>
      </c>
      <c r="AF177" s="36">
        <f>IF(AP177="2",BH177,0)</f>
        <v>0</v>
      </c>
      <c r="AG177" s="36">
        <f>IF(AP177="0",BI177,0)</f>
        <v>0</v>
      </c>
      <c r="AH177" s="59" t="s">
        <v>73</v>
      </c>
      <c r="AI177" s="54">
        <f>IF(AM177=0,K177,0)</f>
        <v>0</v>
      </c>
      <c r="AJ177" s="54">
        <f>IF(AM177=15,K177,0)</f>
        <v>0</v>
      </c>
      <c r="AK177" s="54">
        <f>IF(AM177=21,K177,0)</f>
        <v>0</v>
      </c>
      <c r="AM177" s="36">
        <v>21</v>
      </c>
      <c r="AN177" s="36">
        <f>H177*0.0136480686695279</f>
        <v>0</v>
      </c>
      <c r="AO177" s="36">
        <f>H177*(1-0.0136480686695279)</f>
        <v>0</v>
      </c>
      <c r="AP177" s="60" t="s">
        <v>118</v>
      </c>
      <c r="AU177" s="36">
        <f>AV177+AW177</f>
        <v>0</v>
      </c>
      <c r="AV177" s="36">
        <f>G177*AN177</f>
        <v>0</v>
      </c>
      <c r="AW177" s="36">
        <f>G177*AO177</f>
        <v>0</v>
      </c>
      <c r="AX177" s="62" t="s">
        <v>642</v>
      </c>
      <c r="AY177" s="62" t="s">
        <v>658</v>
      </c>
      <c r="AZ177" s="59" t="s">
        <v>664</v>
      </c>
      <c r="BB177" s="36">
        <f>AV177+AW177</f>
        <v>0</v>
      </c>
      <c r="BC177" s="36">
        <f>H177/(100-BD177)*100</f>
        <v>0</v>
      </c>
      <c r="BD177" s="36">
        <v>0</v>
      </c>
      <c r="BE177" s="36">
        <f>177</f>
        <v>177</v>
      </c>
      <c r="BG177" s="54">
        <f>G177*AN177</f>
        <v>0</v>
      </c>
      <c r="BH177" s="54">
        <f>G177*AO177</f>
        <v>0</v>
      </c>
      <c r="BI177" s="54">
        <f>G177*H177</f>
        <v>0</v>
      </c>
    </row>
    <row r="178" spans="3:5" ht="12.75">
      <c r="C178" s="164" t="s">
        <v>560</v>
      </c>
      <c r="D178" s="165"/>
      <c r="E178" s="165"/>
    </row>
    <row r="179" spans="1:11" ht="12.75">
      <c r="A179" s="46"/>
      <c r="B179" s="52"/>
      <c r="C179" s="166" t="s">
        <v>82</v>
      </c>
      <c r="D179" s="167"/>
      <c r="E179" s="167"/>
      <c r="F179" s="46" t="s">
        <v>69</v>
      </c>
      <c r="G179" s="46" t="s">
        <v>69</v>
      </c>
      <c r="H179" s="46" t="s">
        <v>69</v>
      </c>
      <c r="I179" s="65">
        <f>I180+I193</f>
        <v>0</v>
      </c>
      <c r="J179" s="65">
        <f>J180+J193</f>
        <v>0</v>
      </c>
      <c r="K179" s="65">
        <f>K180+K193</f>
        <v>0</v>
      </c>
    </row>
    <row r="180" spans="1:46" ht="12.75">
      <c r="A180" s="43"/>
      <c r="B180" s="51" t="s">
        <v>377</v>
      </c>
      <c r="C180" s="158" t="s">
        <v>561</v>
      </c>
      <c r="D180" s="159"/>
      <c r="E180" s="159"/>
      <c r="F180" s="43" t="s">
        <v>69</v>
      </c>
      <c r="G180" s="43" t="s">
        <v>69</v>
      </c>
      <c r="H180" s="43" t="s">
        <v>69</v>
      </c>
      <c r="I180" s="64">
        <f>SUM(I181:I192)</f>
        <v>0</v>
      </c>
      <c r="J180" s="64">
        <f>SUM(J181:J192)</f>
        <v>0</v>
      </c>
      <c r="K180" s="64">
        <f>SUM(K181:K192)</f>
        <v>0</v>
      </c>
      <c r="AH180" s="59" t="s">
        <v>74</v>
      </c>
      <c r="AR180" s="64">
        <f>SUM(AI181:AI192)</f>
        <v>0</v>
      </c>
      <c r="AS180" s="64">
        <f>SUM(AJ181:AJ192)</f>
        <v>0</v>
      </c>
      <c r="AT180" s="64">
        <f>SUM(AK181:AK192)</f>
        <v>0</v>
      </c>
    </row>
    <row r="181" spans="1:61" ht="12.75">
      <c r="A181" s="44" t="s">
        <v>227</v>
      </c>
      <c r="B181" s="44" t="s">
        <v>378</v>
      </c>
      <c r="C181" s="160" t="s">
        <v>562</v>
      </c>
      <c r="D181" s="161"/>
      <c r="E181" s="161"/>
      <c r="F181" s="44" t="s">
        <v>593</v>
      </c>
      <c r="G181" s="54">
        <v>24</v>
      </c>
      <c r="H181" s="54">
        <v>0</v>
      </c>
      <c r="I181" s="54">
        <f>G181*AN181</f>
        <v>0</v>
      </c>
      <c r="J181" s="54">
        <f>G181*AO181</f>
        <v>0</v>
      </c>
      <c r="K181" s="54">
        <f>G181*H181</f>
        <v>0</v>
      </c>
      <c r="Y181" s="36">
        <f>IF(AP181="5",BI181,0)</f>
        <v>0</v>
      </c>
      <c r="AA181" s="36">
        <f>IF(AP181="1",BG181,0)</f>
        <v>0</v>
      </c>
      <c r="AB181" s="36">
        <f>IF(AP181="1",BH181,0)</f>
        <v>0</v>
      </c>
      <c r="AC181" s="36">
        <f>IF(AP181="7",BG181,0)</f>
        <v>0</v>
      </c>
      <c r="AD181" s="36">
        <f>IF(AP181="7",BH181,0)</f>
        <v>0</v>
      </c>
      <c r="AE181" s="36">
        <f>IF(AP181="2",BG181,0)</f>
        <v>0</v>
      </c>
      <c r="AF181" s="36">
        <f>IF(AP181="2",BH181,0)</f>
        <v>0</v>
      </c>
      <c r="AG181" s="36">
        <f>IF(AP181="0",BI181,0)</f>
        <v>0</v>
      </c>
      <c r="AH181" s="59" t="s">
        <v>74</v>
      </c>
      <c r="AI181" s="54">
        <f>IF(AM181=0,K181,0)</f>
        <v>0</v>
      </c>
      <c r="AJ181" s="54">
        <f>IF(AM181=15,K181,0)</f>
        <v>0</v>
      </c>
      <c r="AK181" s="54">
        <f>IF(AM181=21,K181,0)</f>
        <v>0</v>
      </c>
      <c r="AM181" s="36">
        <v>21</v>
      </c>
      <c r="AN181" s="36">
        <f>H181*0.585284671532847</f>
        <v>0</v>
      </c>
      <c r="AO181" s="36">
        <f>H181*(1-0.585284671532847)</f>
        <v>0</v>
      </c>
      <c r="AP181" s="60" t="s">
        <v>121</v>
      </c>
      <c r="AU181" s="36">
        <f>AV181+AW181</f>
        <v>0</v>
      </c>
      <c r="AV181" s="36">
        <f>G181*AN181</f>
        <v>0</v>
      </c>
      <c r="AW181" s="36">
        <f>G181*AO181</f>
        <v>0</v>
      </c>
      <c r="AX181" s="62" t="s">
        <v>643</v>
      </c>
      <c r="AY181" s="62" t="s">
        <v>659</v>
      </c>
      <c r="AZ181" s="59" t="s">
        <v>665</v>
      </c>
      <c r="BB181" s="36">
        <f>AV181+AW181</f>
        <v>0</v>
      </c>
      <c r="BC181" s="36">
        <f>H181/(100-BD181)*100</f>
        <v>0</v>
      </c>
      <c r="BD181" s="36">
        <v>0</v>
      </c>
      <c r="BE181" s="36">
        <f>181</f>
        <v>181</v>
      </c>
      <c r="BG181" s="54">
        <f>G181*AN181</f>
        <v>0</v>
      </c>
      <c r="BH181" s="54">
        <f>G181*AO181</f>
        <v>0</v>
      </c>
      <c r="BI181" s="54">
        <f>G181*H181</f>
        <v>0</v>
      </c>
    </row>
    <row r="182" spans="1:61" ht="12.75">
      <c r="A182" s="44" t="s">
        <v>228</v>
      </c>
      <c r="B182" s="44" t="s">
        <v>379</v>
      </c>
      <c r="C182" s="160" t="s">
        <v>563</v>
      </c>
      <c r="D182" s="161"/>
      <c r="E182" s="161"/>
      <c r="F182" s="44" t="s">
        <v>593</v>
      </c>
      <c r="G182" s="54">
        <v>6</v>
      </c>
      <c r="H182" s="54">
        <v>0</v>
      </c>
      <c r="I182" s="54">
        <f>G182*AN182</f>
        <v>0</v>
      </c>
      <c r="J182" s="54">
        <f>G182*AO182</f>
        <v>0</v>
      </c>
      <c r="K182" s="54">
        <f>G182*H182</f>
        <v>0</v>
      </c>
      <c r="Y182" s="36">
        <f>IF(AP182="5",BI182,0)</f>
        <v>0</v>
      </c>
      <c r="AA182" s="36">
        <f>IF(AP182="1",BG182,0)</f>
        <v>0</v>
      </c>
      <c r="AB182" s="36">
        <f>IF(AP182="1",BH182,0)</f>
        <v>0</v>
      </c>
      <c r="AC182" s="36">
        <f>IF(AP182="7",BG182,0)</f>
        <v>0</v>
      </c>
      <c r="AD182" s="36">
        <f>IF(AP182="7",BH182,0)</f>
        <v>0</v>
      </c>
      <c r="AE182" s="36">
        <f>IF(AP182="2",BG182,0)</f>
        <v>0</v>
      </c>
      <c r="AF182" s="36">
        <f>IF(AP182="2",BH182,0)</f>
        <v>0</v>
      </c>
      <c r="AG182" s="36">
        <f>IF(AP182="0",BI182,0)</f>
        <v>0</v>
      </c>
      <c r="AH182" s="59" t="s">
        <v>74</v>
      </c>
      <c r="AI182" s="54">
        <f>IF(AM182=0,K182,0)</f>
        <v>0</v>
      </c>
      <c r="AJ182" s="54">
        <f>IF(AM182=15,K182,0)</f>
        <v>0</v>
      </c>
      <c r="AK182" s="54">
        <f>IF(AM182=21,K182,0)</f>
        <v>0</v>
      </c>
      <c r="AM182" s="36">
        <v>21</v>
      </c>
      <c r="AN182" s="36">
        <f>H182*0.527576791808874</f>
        <v>0</v>
      </c>
      <c r="AO182" s="36">
        <f>H182*(1-0.527576791808874)</f>
        <v>0</v>
      </c>
      <c r="AP182" s="60" t="s">
        <v>121</v>
      </c>
      <c r="AU182" s="36">
        <f>AV182+AW182</f>
        <v>0</v>
      </c>
      <c r="AV182" s="36">
        <f>G182*AN182</f>
        <v>0</v>
      </c>
      <c r="AW182" s="36">
        <f>G182*AO182</f>
        <v>0</v>
      </c>
      <c r="AX182" s="62" t="s">
        <v>643</v>
      </c>
      <c r="AY182" s="62" t="s">
        <v>659</v>
      </c>
      <c r="AZ182" s="59" t="s">
        <v>665</v>
      </c>
      <c r="BB182" s="36">
        <f>AV182+AW182</f>
        <v>0</v>
      </c>
      <c r="BC182" s="36">
        <f>H182/(100-BD182)*100</f>
        <v>0</v>
      </c>
      <c r="BD182" s="36">
        <v>0</v>
      </c>
      <c r="BE182" s="36">
        <f>182</f>
        <v>182</v>
      </c>
      <c r="BG182" s="54">
        <f>G182*AN182</f>
        <v>0</v>
      </c>
      <c r="BH182" s="54">
        <f>G182*AO182</f>
        <v>0</v>
      </c>
      <c r="BI182" s="54">
        <f>G182*H182</f>
        <v>0</v>
      </c>
    </row>
    <row r="183" spans="1:61" ht="12.75">
      <c r="A183" s="44" t="s">
        <v>229</v>
      </c>
      <c r="B183" s="44" t="s">
        <v>380</v>
      </c>
      <c r="C183" s="160" t="s">
        <v>564</v>
      </c>
      <c r="D183" s="161"/>
      <c r="E183" s="161"/>
      <c r="F183" s="44" t="s">
        <v>593</v>
      </c>
      <c r="G183" s="54">
        <v>211.5</v>
      </c>
      <c r="H183" s="54">
        <v>0</v>
      </c>
      <c r="I183" s="54">
        <f>G183*AN183</f>
        <v>0</v>
      </c>
      <c r="J183" s="54">
        <f>G183*AO183</f>
        <v>0</v>
      </c>
      <c r="K183" s="54">
        <f>G183*H183</f>
        <v>0</v>
      </c>
      <c r="Y183" s="36">
        <f>IF(AP183="5",BI183,0)</f>
        <v>0</v>
      </c>
      <c r="AA183" s="36">
        <f>IF(AP183="1",BG183,0)</f>
        <v>0</v>
      </c>
      <c r="AB183" s="36">
        <f>IF(AP183="1",BH183,0)</f>
        <v>0</v>
      </c>
      <c r="AC183" s="36">
        <f>IF(AP183="7",BG183,0)</f>
        <v>0</v>
      </c>
      <c r="AD183" s="36">
        <f>IF(AP183="7",BH183,0)</f>
        <v>0</v>
      </c>
      <c r="AE183" s="36">
        <f>IF(AP183="2",BG183,0)</f>
        <v>0</v>
      </c>
      <c r="AF183" s="36">
        <f>IF(AP183="2",BH183,0)</f>
        <v>0</v>
      </c>
      <c r="AG183" s="36">
        <f>IF(AP183="0",BI183,0)</f>
        <v>0</v>
      </c>
      <c r="AH183" s="59" t="s">
        <v>74</v>
      </c>
      <c r="AI183" s="54">
        <f>IF(AM183=0,K183,0)</f>
        <v>0</v>
      </c>
      <c r="AJ183" s="54">
        <f>IF(AM183=15,K183,0)</f>
        <v>0</v>
      </c>
      <c r="AK183" s="54">
        <f>IF(AM183=21,K183,0)</f>
        <v>0</v>
      </c>
      <c r="AM183" s="36">
        <v>21</v>
      </c>
      <c r="AN183" s="36">
        <f>H183*0.0215909090909091</f>
        <v>0</v>
      </c>
      <c r="AO183" s="36">
        <f>H183*(1-0.0215909090909091)</f>
        <v>0</v>
      </c>
      <c r="AP183" s="60" t="s">
        <v>121</v>
      </c>
      <c r="AU183" s="36">
        <f>AV183+AW183</f>
        <v>0</v>
      </c>
      <c r="AV183" s="36">
        <f>G183*AN183</f>
        <v>0</v>
      </c>
      <c r="AW183" s="36">
        <f>G183*AO183</f>
        <v>0</v>
      </c>
      <c r="AX183" s="62" t="s">
        <v>643</v>
      </c>
      <c r="AY183" s="62" t="s">
        <v>659</v>
      </c>
      <c r="AZ183" s="59" t="s">
        <v>665</v>
      </c>
      <c r="BB183" s="36">
        <f>AV183+AW183</f>
        <v>0</v>
      </c>
      <c r="BC183" s="36">
        <f>H183/(100-BD183)*100</f>
        <v>0</v>
      </c>
      <c r="BD183" s="36">
        <v>0</v>
      </c>
      <c r="BE183" s="36">
        <f>183</f>
        <v>183</v>
      </c>
      <c r="BG183" s="54">
        <f>G183*AN183</f>
        <v>0</v>
      </c>
      <c r="BH183" s="54">
        <f>G183*AO183</f>
        <v>0</v>
      </c>
      <c r="BI183" s="54">
        <f>G183*H183</f>
        <v>0</v>
      </c>
    </row>
    <row r="184" spans="1:61" ht="12.75">
      <c r="A184" s="44" t="s">
        <v>230</v>
      </c>
      <c r="B184" s="44" t="s">
        <v>381</v>
      </c>
      <c r="C184" s="160" t="s">
        <v>565</v>
      </c>
      <c r="D184" s="161"/>
      <c r="E184" s="161"/>
      <c r="F184" s="44" t="s">
        <v>594</v>
      </c>
      <c r="G184" s="54">
        <v>18</v>
      </c>
      <c r="H184" s="54">
        <v>0</v>
      </c>
      <c r="I184" s="54">
        <f>G184*AN184</f>
        <v>0</v>
      </c>
      <c r="J184" s="54">
        <f>G184*AO184</f>
        <v>0</v>
      </c>
      <c r="K184" s="54">
        <f>G184*H184</f>
        <v>0</v>
      </c>
      <c r="Y184" s="36">
        <f>IF(AP184="5",BI184,0)</f>
        <v>0</v>
      </c>
      <c r="AA184" s="36">
        <f>IF(AP184="1",BG184,0)</f>
        <v>0</v>
      </c>
      <c r="AB184" s="36">
        <f>IF(AP184="1",BH184,0)</f>
        <v>0</v>
      </c>
      <c r="AC184" s="36">
        <f>IF(AP184="7",BG184,0)</f>
        <v>0</v>
      </c>
      <c r="AD184" s="36">
        <f>IF(AP184="7",BH184,0)</f>
        <v>0</v>
      </c>
      <c r="AE184" s="36">
        <f>IF(AP184="2",BG184,0)</f>
        <v>0</v>
      </c>
      <c r="AF184" s="36">
        <f>IF(AP184="2",BH184,0)</f>
        <v>0</v>
      </c>
      <c r="AG184" s="36">
        <f>IF(AP184="0",BI184,0)</f>
        <v>0</v>
      </c>
      <c r="AH184" s="59" t="s">
        <v>74</v>
      </c>
      <c r="AI184" s="54">
        <f>IF(AM184=0,K184,0)</f>
        <v>0</v>
      </c>
      <c r="AJ184" s="54">
        <f>IF(AM184=15,K184,0)</f>
        <v>0</v>
      </c>
      <c r="AK184" s="54">
        <f>IF(AM184=21,K184,0)</f>
        <v>0</v>
      </c>
      <c r="AM184" s="36">
        <v>21</v>
      </c>
      <c r="AN184" s="36">
        <f>H184*0.840770791075051</f>
        <v>0</v>
      </c>
      <c r="AO184" s="36">
        <f>H184*(1-0.840770791075051)</f>
        <v>0</v>
      </c>
      <c r="AP184" s="60" t="s">
        <v>121</v>
      </c>
      <c r="AU184" s="36">
        <f>AV184+AW184</f>
        <v>0</v>
      </c>
      <c r="AV184" s="36">
        <f>G184*AN184</f>
        <v>0</v>
      </c>
      <c r="AW184" s="36">
        <f>G184*AO184</f>
        <v>0</v>
      </c>
      <c r="AX184" s="62" t="s">
        <v>643</v>
      </c>
      <c r="AY184" s="62" t="s">
        <v>659</v>
      </c>
      <c r="AZ184" s="59" t="s">
        <v>665</v>
      </c>
      <c r="BB184" s="36">
        <f>AV184+AW184</f>
        <v>0</v>
      </c>
      <c r="BC184" s="36">
        <f>H184/(100-BD184)*100</f>
        <v>0</v>
      </c>
      <c r="BD184" s="36">
        <v>0</v>
      </c>
      <c r="BE184" s="36">
        <f>184</f>
        <v>184</v>
      </c>
      <c r="BG184" s="54">
        <f>G184*AN184</f>
        <v>0</v>
      </c>
      <c r="BH184" s="54">
        <f>G184*AO184</f>
        <v>0</v>
      </c>
      <c r="BI184" s="54">
        <f>G184*H184</f>
        <v>0</v>
      </c>
    </row>
    <row r="185" spans="1:61" ht="12.75">
      <c r="A185" s="44" t="s">
        <v>231</v>
      </c>
      <c r="B185" s="44" t="s">
        <v>382</v>
      </c>
      <c r="C185" s="160" t="s">
        <v>566</v>
      </c>
      <c r="D185" s="161"/>
      <c r="E185" s="161"/>
      <c r="F185" s="44" t="s">
        <v>593</v>
      </c>
      <c r="G185" s="54">
        <v>9</v>
      </c>
      <c r="H185" s="54">
        <v>0</v>
      </c>
      <c r="I185" s="54">
        <f>G185*AN185</f>
        <v>0</v>
      </c>
      <c r="J185" s="54">
        <f>G185*AO185</f>
        <v>0</v>
      </c>
      <c r="K185" s="54">
        <f>G185*H185</f>
        <v>0</v>
      </c>
      <c r="Y185" s="36">
        <f>IF(AP185="5",BI185,0)</f>
        <v>0</v>
      </c>
      <c r="AA185" s="36">
        <f>IF(AP185="1",BG185,0)</f>
        <v>0</v>
      </c>
      <c r="AB185" s="36">
        <f>IF(AP185="1",BH185,0)</f>
        <v>0</v>
      </c>
      <c r="AC185" s="36">
        <f>IF(AP185="7",BG185,0)</f>
        <v>0</v>
      </c>
      <c r="AD185" s="36">
        <f>IF(AP185="7",BH185,0)</f>
        <v>0</v>
      </c>
      <c r="AE185" s="36">
        <f>IF(AP185="2",BG185,0)</f>
        <v>0</v>
      </c>
      <c r="AF185" s="36">
        <f>IF(AP185="2",BH185,0)</f>
        <v>0</v>
      </c>
      <c r="AG185" s="36">
        <f>IF(AP185="0",BI185,0)</f>
        <v>0</v>
      </c>
      <c r="AH185" s="59" t="s">
        <v>74</v>
      </c>
      <c r="AI185" s="54">
        <f>IF(AM185=0,K185,0)</f>
        <v>0</v>
      </c>
      <c r="AJ185" s="54">
        <f>IF(AM185=15,K185,0)</f>
        <v>0</v>
      </c>
      <c r="AK185" s="54">
        <f>IF(AM185=21,K185,0)</f>
        <v>0</v>
      </c>
      <c r="AM185" s="36">
        <v>21</v>
      </c>
      <c r="AN185" s="36">
        <f>H185*0.278255528255528</f>
        <v>0</v>
      </c>
      <c r="AO185" s="36">
        <f>H185*(1-0.278255528255528)</f>
        <v>0</v>
      </c>
      <c r="AP185" s="60" t="s">
        <v>121</v>
      </c>
      <c r="AU185" s="36">
        <f>AV185+AW185</f>
        <v>0</v>
      </c>
      <c r="AV185" s="36">
        <f>G185*AN185</f>
        <v>0</v>
      </c>
      <c r="AW185" s="36">
        <f>G185*AO185</f>
        <v>0</v>
      </c>
      <c r="AX185" s="62" t="s">
        <v>643</v>
      </c>
      <c r="AY185" s="62" t="s">
        <v>659</v>
      </c>
      <c r="AZ185" s="59" t="s">
        <v>665</v>
      </c>
      <c r="BB185" s="36">
        <f>AV185+AW185</f>
        <v>0</v>
      </c>
      <c r="BC185" s="36">
        <f>H185/(100-BD185)*100</f>
        <v>0</v>
      </c>
      <c r="BD185" s="36">
        <v>0</v>
      </c>
      <c r="BE185" s="36">
        <f>185</f>
        <v>185</v>
      </c>
      <c r="BG185" s="54">
        <f>G185*AN185</f>
        <v>0</v>
      </c>
      <c r="BH185" s="54">
        <f>G185*AO185</f>
        <v>0</v>
      </c>
      <c r="BI185" s="54">
        <f>G185*H185</f>
        <v>0</v>
      </c>
    </row>
    <row r="186" spans="3:5" ht="12.75">
      <c r="C186" s="164" t="s">
        <v>567</v>
      </c>
      <c r="D186" s="165"/>
      <c r="E186" s="165"/>
    </row>
    <row r="187" spans="1:61" ht="12.75">
      <c r="A187" s="44" t="s">
        <v>232</v>
      </c>
      <c r="B187" s="44" t="s">
        <v>383</v>
      </c>
      <c r="C187" s="160" t="s">
        <v>568</v>
      </c>
      <c r="D187" s="161"/>
      <c r="E187" s="161"/>
      <c r="F187" s="44" t="s">
        <v>597</v>
      </c>
      <c r="G187" s="54">
        <v>6</v>
      </c>
      <c r="H187" s="54">
        <v>0</v>
      </c>
      <c r="I187" s="54">
        <f>G187*AN187</f>
        <v>0</v>
      </c>
      <c r="J187" s="54">
        <f>G187*AO187</f>
        <v>0</v>
      </c>
      <c r="K187" s="54">
        <f>G187*H187</f>
        <v>0</v>
      </c>
      <c r="Y187" s="36">
        <f>IF(AP187="5",BI187,0)</f>
        <v>0</v>
      </c>
      <c r="AA187" s="36">
        <f>IF(AP187="1",BG187,0)</f>
        <v>0</v>
      </c>
      <c r="AB187" s="36">
        <f>IF(AP187="1",BH187,0)</f>
        <v>0</v>
      </c>
      <c r="AC187" s="36">
        <f>IF(AP187="7",BG187,0)</f>
        <v>0</v>
      </c>
      <c r="AD187" s="36">
        <f>IF(AP187="7",BH187,0)</f>
        <v>0</v>
      </c>
      <c r="AE187" s="36">
        <f>IF(AP187="2",BG187,0)</f>
        <v>0</v>
      </c>
      <c r="AF187" s="36">
        <f>IF(AP187="2",BH187,0)</f>
        <v>0</v>
      </c>
      <c r="AG187" s="36">
        <f>IF(AP187="0",BI187,0)</f>
        <v>0</v>
      </c>
      <c r="AH187" s="59" t="s">
        <v>74</v>
      </c>
      <c r="AI187" s="54">
        <f>IF(AM187=0,K187,0)</f>
        <v>0</v>
      </c>
      <c r="AJ187" s="54">
        <f>IF(AM187=15,K187,0)</f>
        <v>0</v>
      </c>
      <c r="AK187" s="54">
        <f>IF(AM187=21,K187,0)</f>
        <v>0</v>
      </c>
      <c r="AM187" s="36">
        <v>21</v>
      </c>
      <c r="AN187" s="36">
        <f>H187*0</f>
        <v>0</v>
      </c>
      <c r="AO187" s="36">
        <f>H187*(1-0)</f>
        <v>0</v>
      </c>
      <c r="AP187" s="60" t="s">
        <v>121</v>
      </c>
      <c r="AU187" s="36">
        <f>AV187+AW187</f>
        <v>0</v>
      </c>
      <c r="AV187" s="36">
        <f>G187*AN187</f>
        <v>0</v>
      </c>
      <c r="AW187" s="36">
        <f>G187*AO187</f>
        <v>0</v>
      </c>
      <c r="AX187" s="62" t="s">
        <v>643</v>
      </c>
      <c r="AY187" s="62" t="s">
        <v>659</v>
      </c>
      <c r="AZ187" s="59" t="s">
        <v>665</v>
      </c>
      <c r="BB187" s="36">
        <f>AV187+AW187</f>
        <v>0</v>
      </c>
      <c r="BC187" s="36">
        <f>H187/(100-BD187)*100</f>
        <v>0</v>
      </c>
      <c r="BD187" s="36">
        <v>0</v>
      </c>
      <c r="BE187" s="36">
        <f>187</f>
        <v>187</v>
      </c>
      <c r="BG187" s="54">
        <f>G187*AN187</f>
        <v>0</v>
      </c>
      <c r="BH187" s="54">
        <f>G187*AO187</f>
        <v>0</v>
      </c>
      <c r="BI187" s="54">
        <f>G187*H187</f>
        <v>0</v>
      </c>
    </row>
    <row r="188" spans="3:5" ht="12.75">
      <c r="C188" s="164" t="s">
        <v>569</v>
      </c>
      <c r="D188" s="165"/>
      <c r="E188" s="165"/>
    </row>
    <row r="189" spans="1:61" ht="12.75">
      <c r="A189" s="44" t="s">
        <v>233</v>
      </c>
      <c r="B189" s="44" t="s">
        <v>384</v>
      </c>
      <c r="C189" s="160" t="s">
        <v>570</v>
      </c>
      <c r="D189" s="161"/>
      <c r="E189" s="161"/>
      <c r="F189" s="44" t="s">
        <v>593</v>
      </c>
      <c r="G189" s="54">
        <v>30</v>
      </c>
      <c r="H189" s="54">
        <v>0</v>
      </c>
      <c r="I189" s="54">
        <f>G189*AN189</f>
        <v>0</v>
      </c>
      <c r="J189" s="54">
        <f>G189*AO189</f>
        <v>0</v>
      </c>
      <c r="K189" s="54">
        <f>G189*H189</f>
        <v>0</v>
      </c>
      <c r="Y189" s="36">
        <f>IF(AP189="5",BI189,0)</f>
        <v>0</v>
      </c>
      <c r="AA189" s="36">
        <f>IF(AP189="1",BG189,0)</f>
        <v>0</v>
      </c>
      <c r="AB189" s="36">
        <f>IF(AP189="1",BH189,0)</f>
        <v>0</v>
      </c>
      <c r="AC189" s="36">
        <f>IF(AP189="7",BG189,0)</f>
        <v>0</v>
      </c>
      <c r="AD189" s="36">
        <f>IF(AP189="7",BH189,0)</f>
        <v>0</v>
      </c>
      <c r="AE189" s="36">
        <f>IF(AP189="2",BG189,0)</f>
        <v>0</v>
      </c>
      <c r="AF189" s="36">
        <f>IF(AP189="2",BH189,0)</f>
        <v>0</v>
      </c>
      <c r="AG189" s="36">
        <f>IF(AP189="0",BI189,0)</f>
        <v>0</v>
      </c>
      <c r="AH189" s="59" t="s">
        <v>74</v>
      </c>
      <c r="AI189" s="54">
        <f>IF(AM189=0,K189,0)</f>
        <v>0</v>
      </c>
      <c r="AJ189" s="54">
        <f>IF(AM189=15,K189,0)</f>
        <v>0</v>
      </c>
      <c r="AK189" s="54">
        <f>IF(AM189=21,K189,0)</f>
        <v>0</v>
      </c>
      <c r="AM189" s="36">
        <v>21</v>
      </c>
      <c r="AN189" s="36">
        <f>H189*0.19156862745098</f>
        <v>0</v>
      </c>
      <c r="AO189" s="36">
        <f>H189*(1-0.19156862745098)</f>
        <v>0</v>
      </c>
      <c r="AP189" s="60" t="s">
        <v>121</v>
      </c>
      <c r="AU189" s="36">
        <f>AV189+AW189</f>
        <v>0</v>
      </c>
      <c r="AV189" s="36">
        <f>G189*AN189</f>
        <v>0</v>
      </c>
      <c r="AW189" s="36">
        <f>G189*AO189</f>
        <v>0</v>
      </c>
      <c r="AX189" s="62" t="s">
        <v>643</v>
      </c>
      <c r="AY189" s="62" t="s">
        <v>659</v>
      </c>
      <c r="AZ189" s="59" t="s">
        <v>665</v>
      </c>
      <c r="BB189" s="36">
        <f>AV189+AW189</f>
        <v>0</v>
      </c>
      <c r="BC189" s="36">
        <f>H189/(100-BD189)*100</f>
        <v>0</v>
      </c>
      <c r="BD189" s="36">
        <v>0</v>
      </c>
      <c r="BE189" s="36">
        <f>189</f>
        <v>189</v>
      </c>
      <c r="BG189" s="54">
        <f>G189*AN189</f>
        <v>0</v>
      </c>
      <c r="BH189" s="54">
        <f>G189*AO189</f>
        <v>0</v>
      </c>
      <c r="BI189" s="54">
        <f>G189*H189</f>
        <v>0</v>
      </c>
    </row>
    <row r="190" spans="1:61" ht="12.75">
      <c r="A190" s="44" t="s">
        <v>234</v>
      </c>
      <c r="B190" s="44" t="s">
        <v>385</v>
      </c>
      <c r="C190" s="160" t="s">
        <v>571</v>
      </c>
      <c r="D190" s="161"/>
      <c r="E190" s="161"/>
      <c r="F190" s="44" t="s">
        <v>594</v>
      </c>
      <c r="G190" s="54">
        <v>6</v>
      </c>
      <c r="H190" s="54">
        <v>0</v>
      </c>
      <c r="I190" s="54">
        <f>G190*AN190</f>
        <v>0</v>
      </c>
      <c r="J190" s="54">
        <f>G190*AO190</f>
        <v>0</v>
      </c>
      <c r="K190" s="54">
        <f>G190*H190</f>
        <v>0</v>
      </c>
      <c r="Y190" s="36">
        <f>IF(AP190="5",BI190,0)</f>
        <v>0</v>
      </c>
      <c r="AA190" s="36">
        <f>IF(AP190="1",BG190,0)</f>
        <v>0</v>
      </c>
      <c r="AB190" s="36">
        <f>IF(AP190="1",BH190,0)</f>
        <v>0</v>
      </c>
      <c r="AC190" s="36">
        <f>IF(AP190="7",BG190,0)</f>
        <v>0</v>
      </c>
      <c r="AD190" s="36">
        <f>IF(AP190="7",BH190,0)</f>
        <v>0</v>
      </c>
      <c r="AE190" s="36">
        <f>IF(AP190="2",BG190,0)</f>
        <v>0</v>
      </c>
      <c r="AF190" s="36">
        <f>IF(AP190="2",BH190,0)</f>
        <v>0</v>
      </c>
      <c r="AG190" s="36">
        <f>IF(AP190="0",BI190,0)</f>
        <v>0</v>
      </c>
      <c r="AH190" s="59" t="s">
        <v>74</v>
      </c>
      <c r="AI190" s="54">
        <f>IF(AM190=0,K190,0)</f>
        <v>0</v>
      </c>
      <c r="AJ190" s="54">
        <f>IF(AM190=15,K190,0)</f>
        <v>0</v>
      </c>
      <c r="AK190" s="54">
        <f>IF(AM190=21,K190,0)</f>
        <v>0</v>
      </c>
      <c r="AM190" s="36">
        <v>21</v>
      </c>
      <c r="AN190" s="36">
        <f>H190*0.708588235294118</f>
        <v>0</v>
      </c>
      <c r="AO190" s="36">
        <f>H190*(1-0.708588235294118)</f>
        <v>0</v>
      </c>
      <c r="AP190" s="60" t="s">
        <v>121</v>
      </c>
      <c r="AU190" s="36">
        <f>AV190+AW190</f>
        <v>0</v>
      </c>
      <c r="AV190" s="36">
        <f>G190*AN190</f>
        <v>0</v>
      </c>
      <c r="AW190" s="36">
        <f>G190*AO190</f>
        <v>0</v>
      </c>
      <c r="AX190" s="62" t="s">
        <v>643</v>
      </c>
      <c r="AY190" s="62" t="s">
        <v>659</v>
      </c>
      <c r="AZ190" s="59" t="s">
        <v>665</v>
      </c>
      <c r="BB190" s="36">
        <f>AV190+AW190</f>
        <v>0</v>
      </c>
      <c r="BC190" s="36">
        <f>H190/(100-BD190)*100</f>
        <v>0</v>
      </c>
      <c r="BD190" s="36">
        <v>0</v>
      </c>
      <c r="BE190" s="36">
        <f>190</f>
        <v>190</v>
      </c>
      <c r="BG190" s="54">
        <f>G190*AN190</f>
        <v>0</v>
      </c>
      <c r="BH190" s="54">
        <f>G190*AO190</f>
        <v>0</v>
      </c>
      <c r="BI190" s="54">
        <f>G190*H190</f>
        <v>0</v>
      </c>
    </row>
    <row r="191" spans="1:61" ht="12.75">
      <c r="A191" s="44" t="s">
        <v>235</v>
      </c>
      <c r="B191" s="44" t="s">
        <v>357</v>
      </c>
      <c r="C191" s="160" t="s">
        <v>539</v>
      </c>
      <c r="D191" s="161"/>
      <c r="E191" s="161"/>
      <c r="F191" s="44" t="s">
        <v>66</v>
      </c>
      <c r="G191" s="54">
        <v>1089</v>
      </c>
      <c r="H191" s="54">
        <v>0</v>
      </c>
      <c r="I191" s="54">
        <f>G191*AN191</f>
        <v>0</v>
      </c>
      <c r="J191" s="54">
        <f>G191*AO191</f>
        <v>0</v>
      </c>
      <c r="K191" s="54">
        <f>G191*H191</f>
        <v>0</v>
      </c>
      <c r="Y191" s="36">
        <f>IF(AP191="5",BI191,0)</f>
        <v>0</v>
      </c>
      <c r="AA191" s="36">
        <f>IF(AP191="1",BG191,0)</f>
        <v>0</v>
      </c>
      <c r="AB191" s="36">
        <f>IF(AP191="1",BH191,0)</f>
        <v>0</v>
      </c>
      <c r="AC191" s="36">
        <f>IF(AP191="7",BG191,0)</f>
        <v>0</v>
      </c>
      <c r="AD191" s="36">
        <f>IF(AP191="7",BH191,0)</f>
        <v>0</v>
      </c>
      <c r="AE191" s="36">
        <f>IF(AP191="2",BG191,0)</f>
        <v>0</v>
      </c>
      <c r="AF191" s="36">
        <f>IF(AP191="2",BH191,0)</f>
        <v>0</v>
      </c>
      <c r="AG191" s="36">
        <f>IF(AP191="0",BI191,0)</f>
        <v>0</v>
      </c>
      <c r="AH191" s="59" t="s">
        <v>74</v>
      </c>
      <c r="AI191" s="54">
        <f>IF(AM191=0,K191,0)</f>
        <v>0</v>
      </c>
      <c r="AJ191" s="54">
        <f>IF(AM191=15,K191,0)</f>
        <v>0</v>
      </c>
      <c r="AK191" s="54">
        <f>IF(AM191=21,K191,0)</f>
        <v>0</v>
      </c>
      <c r="AM191" s="36">
        <v>21</v>
      </c>
      <c r="AN191" s="36">
        <f>H191*0</f>
        <v>0</v>
      </c>
      <c r="AO191" s="36">
        <f>H191*(1-0)</f>
        <v>0</v>
      </c>
      <c r="AP191" s="60" t="s">
        <v>118</v>
      </c>
      <c r="AU191" s="36">
        <f>AV191+AW191</f>
        <v>0</v>
      </c>
      <c r="AV191" s="36">
        <f>G191*AN191</f>
        <v>0</v>
      </c>
      <c r="AW191" s="36">
        <f>G191*AO191</f>
        <v>0</v>
      </c>
      <c r="AX191" s="62" t="s">
        <v>643</v>
      </c>
      <c r="AY191" s="62" t="s">
        <v>659</v>
      </c>
      <c r="AZ191" s="59" t="s">
        <v>665</v>
      </c>
      <c r="BB191" s="36">
        <f>AV191+AW191</f>
        <v>0</v>
      </c>
      <c r="BC191" s="36">
        <f>H191/(100-BD191)*100</f>
        <v>0</v>
      </c>
      <c r="BD191" s="36">
        <v>0</v>
      </c>
      <c r="BE191" s="36">
        <f>191</f>
        <v>191</v>
      </c>
      <c r="BG191" s="54">
        <f>G191*AN191</f>
        <v>0</v>
      </c>
      <c r="BH191" s="54">
        <f>G191*AO191</f>
        <v>0</v>
      </c>
      <c r="BI191" s="54">
        <f>G191*H191</f>
        <v>0</v>
      </c>
    </row>
    <row r="192" spans="1:61" ht="12.75">
      <c r="A192" s="44" t="s">
        <v>236</v>
      </c>
      <c r="B192" s="44" t="s">
        <v>386</v>
      </c>
      <c r="C192" s="160" t="s">
        <v>572</v>
      </c>
      <c r="D192" s="161"/>
      <c r="E192" s="161"/>
      <c r="F192" s="44" t="s">
        <v>592</v>
      </c>
      <c r="G192" s="54">
        <v>0.2</v>
      </c>
      <c r="H192" s="54">
        <v>0</v>
      </c>
      <c r="I192" s="54">
        <f>G192*AN192</f>
        <v>0</v>
      </c>
      <c r="J192" s="54">
        <f>G192*AO192</f>
        <v>0</v>
      </c>
      <c r="K192" s="54">
        <f>G192*H192</f>
        <v>0</v>
      </c>
      <c r="Y192" s="36">
        <f>IF(AP192="5",BI192,0)</f>
        <v>0</v>
      </c>
      <c r="AA192" s="36">
        <f>IF(AP192="1",BG192,0)</f>
        <v>0</v>
      </c>
      <c r="AB192" s="36">
        <f>IF(AP192="1",BH192,0)</f>
        <v>0</v>
      </c>
      <c r="AC192" s="36">
        <f>IF(AP192="7",BG192,0)</f>
        <v>0</v>
      </c>
      <c r="AD192" s="36">
        <f>IF(AP192="7",BH192,0)</f>
        <v>0</v>
      </c>
      <c r="AE192" s="36">
        <f>IF(AP192="2",BG192,0)</f>
        <v>0</v>
      </c>
      <c r="AF192" s="36">
        <f>IF(AP192="2",BH192,0)</f>
        <v>0</v>
      </c>
      <c r="AG192" s="36">
        <f>IF(AP192="0",BI192,0)</f>
        <v>0</v>
      </c>
      <c r="AH192" s="59" t="s">
        <v>74</v>
      </c>
      <c r="AI192" s="54">
        <f>IF(AM192=0,K192,0)</f>
        <v>0</v>
      </c>
      <c r="AJ192" s="54">
        <f>IF(AM192=15,K192,0)</f>
        <v>0</v>
      </c>
      <c r="AK192" s="54">
        <f>IF(AM192=21,K192,0)</f>
        <v>0</v>
      </c>
      <c r="AM192" s="36">
        <v>21</v>
      </c>
      <c r="AN192" s="36">
        <f>H192*0</f>
        <v>0</v>
      </c>
      <c r="AO192" s="36">
        <f>H192*(1-0)</f>
        <v>0</v>
      </c>
      <c r="AP192" s="60" t="s">
        <v>120</v>
      </c>
      <c r="AU192" s="36">
        <f>AV192+AW192</f>
        <v>0</v>
      </c>
      <c r="AV192" s="36">
        <f>G192*AN192</f>
        <v>0</v>
      </c>
      <c r="AW192" s="36">
        <f>G192*AO192</f>
        <v>0</v>
      </c>
      <c r="AX192" s="62" t="s">
        <v>643</v>
      </c>
      <c r="AY192" s="62" t="s">
        <v>659</v>
      </c>
      <c r="AZ192" s="59" t="s">
        <v>665</v>
      </c>
      <c r="BB192" s="36">
        <f>AV192+AW192</f>
        <v>0</v>
      </c>
      <c r="BC192" s="36">
        <f>H192/(100-BD192)*100</f>
        <v>0</v>
      </c>
      <c r="BD192" s="36">
        <v>0</v>
      </c>
      <c r="BE192" s="36">
        <f>192</f>
        <v>192</v>
      </c>
      <c r="BG192" s="54">
        <f>G192*AN192</f>
        <v>0</v>
      </c>
      <c r="BH192" s="54">
        <f>G192*AO192</f>
        <v>0</v>
      </c>
      <c r="BI192" s="54">
        <f>G192*H192</f>
        <v>0</v>
      </c>
    </row>
    <row r="193" spans="1:46" ht="12.75">
      <c r="A193" s="43"/>
      <c r="B193" s="51" t="s">
        <v>387</v>
      </c>
      <c r="C193" s="158" t="s">
        <v>573</v>
      </c>
      <c r="D193" s="159"/>
      <c r="E193" s="159"/>
      <c r="F193" s="43" t="s">
        <v>69</v>
      </c>
      <c r="G193" s="43" t="s">
        <v>69</v>
      </c>
      <c r="H193" s="43" t="s">
        <v>69</v>
      </c>
      <c r="I193" s="64">
        <f>SUM(I194:I203)</f>
        <v>0</v>
      </c>
      <c r="J193" s="64">
        <f>SUM(J194:J203)</f>
        <v>0</v>
      </c>
      <c r="K193" s="64">
        <f>SUM(K194:K203)</f>
        <v>0</v>
      </c>
      <c r="AH193" s="59" t="s">
        <v>74</v>
      </c>
      <c r="AR193" s="64">
        <f>SUM(AI194:AI203)</f>
        <v>0</v>
      </c>
      <c r="AS193" s="64">
        <f>SUM(AJ194:AJ203)</f>
        <v>0</v>
      </c>
      <c r="AT193" s="64">
        <f>SUM(AK194:AK203)</f>
        <v>0</v>
      </c>
    </row>
    <row r="194" spans="1:61" ht="12.75">
      <c r="A194" s="44" t="s">
        <v>237</v>
      </c>
      <c r="B194" s="44" t="s">
        <v>388</v>
      </c>
      <c r="C194" s="160" t="s">
        <v>574</v>
      </c>
      <c r="D194" s="161"/>
      <c r="E194" s="161"/>
      <c r="F194" s="44" t="s">
        <v>594</v>
      </c>
      <c r="G194" s="54">
        <v>6</v>
      </c>
      <c r="H194" s="54">
        <v>0</v>
      </c>
      <c r="I194" s="54">
        <f aca="true" t="shared" si="132" ref="I194:I203">G194*AN194</f>
        <v>0</v>
      </c>
      <c r="J194" s="54">
        <f aca="true" t="shared" si="133" ref="J194:J203">G194*AO194</f>
        <v>0</v>
      </c>
      <c r="K194" s="54">
        <f aca="true" t="shared" si="134" ref="K194:K203">G194*H194</f>
        <v>0</v>
      </c>
      <c r="Y194" s="36">
        <f aca="true" t="shared" si="135" ref="Y194:Y203">IF(AP194="5",BI194,0)</f>
        <v>0</v>
      </c>
      <c r="AA194" s="36">
        <f aca="true" t="shared" si="136" ref="AA194:AA203">IF(AP194="1",BG194,0)</f>
        <v>0</v>
      </c>
      <c r="AB194" s="36">
        <f aca="true" t="shared" si="137" ref="AB194:AB203">IF(AP194="1",BH194,0)</f>
        <v>0</v>
      </c>
      <c r="AC194" s="36">
        <f aca="true" t="shared" si="138" ref="AC194:AC203">IF(AP194="7",BG194,0)</f>
        <v>0</v>
      </c>
      <c r="AD194" s="36">
        <f aca="true" t="shared" si="139" ref="AD194:AD203">IF(AP194="7",BH194,0)</f>
        <v>0</v>
      </c>
      <c r="AE194" s="36">
        <f aca="true" t="shared" si="140" ref="AE194:AE203">IF(AP194="2",BG194,0)</f>
        <v>0</v>
      </c>
      <c r="AF194" s="36">
        <f aca="true" t="shared" si="141" ref="AF194:AF203">IF(AP194="2",BH194,0)</f>
        <v>0</v>
      </c>
      <c r="AG194" s="36">
        <f aca="true" t="shared" si="142" ref="AG194:AG203">IF(AP194="0",BI194,0)</f>
        <v>0</v>
      </c>
      <c r="AH194" s="59" t="s">
        <v>74</v>
      </c>
      <c r="AI194" s="54">
        <f aca="true" t="shared" si="143" ref="AI194:AI203">IF(AM194=0,K194,0)</f>
        <v>0</v>
      </c>
      <c r="AJ194" s="54">
        <f aca="true" t="shared" si="144" ref="AJ194:AJ203">IF(AM194=15,K194,0)</f>
        <v>0</v>
      </c>
      <c r="AK194" s="54">
        <f aca="true" t="shared" si="145" ref="AK194:AK203">IF(AM194=21,K194,0)</f>
        <v>0</v>
      </c>
      <c r="AM194" s="36">
        <v>21</v>
      </c>
      <c r="AN194" s="36">
        <f>H194*0.0766307277628032</f>
        <v>0</v>
      </c>
      <c r="AO194" s="36">
        <f>H194*(1-0.0766307277628032)</f>
        <v>0</v>
      </c>
      <c r="AP194" s="60" t="s">
        <v>121</v>
      </c>
      <c r="AU194" s="36">
        <f aca="true" t="shared" si="146" ref="AU194:AU203">AV194+AW194</f>
        <v>0</v>
      </c>
      <c r="AV194" s="36">
        <f aca="true" t="shared" si="147" ref="AV194:AV203">G194*AN194</f>
        <v>0</v>
      </c>
      <c r="AW194" s="36">
        <f aca="true" t="shared" si="148" ref="AW194:AW203">G194*AO194</f>
        <v>0</v>
      </c>
      <c r="AX194" s="62" t="s">
        <v>644</v>
      </c>
      <c r="AY194" s="62" t="s">
        <v>659</v>
      </c>
      <c r="AZ194" s="59" t="s">
        <v>665</v>
      </c>
      <c r="BB194" s="36">
        <f aca="true" t="shared" si="149" ref="BB194:BB203">AV194+AW194</f>
        <v>0</v>
      </c>
      <c r="BC194" s="36">
        <f aca="true" t="shared" si="150" ref="BC194:BC203">H194/(100-BD194)*100</f>
        <v>0</v>
      </c>
      <c r="BD194" s="36">
        <v>0</v>
      </c>
      <c r="BE194" s="36">
        <f>194</f>
        <v>194</v>
      </c>
      <c r="BG194" s="54">
        <f aca="true" t="shared" si="151" ref="BG194:BG203">G194*AN194</f>
        <v>0</v>
      </c>
      <c r="BH194" s="54">
        <f aca="true" t="shared" si="152" ref="BH194:BH203">G194*AO194</f>
        <v>0</v>
      </c>
      <c r="BI194" s="54">
        <f aca="true" t="shared" si="153" ref="BI194:BI203">G194*H194</f>
        <v>0</v>
      </c>
    </row>
    <row r="195" spans="1:61" ht="12.75">
      <c r="A195" s="45" t="s">
        <v>238</v>
      </c>
      <c r="B195" s="45" t="s">
        <v>389</v>
      </c>
      <c r="C195" s="162" t="s">
        <v>575</v>
      </c>
      <c r="D195" s="163"/>
      <c r="E195" s="163"/>
      <c r="F195" s="45" t="s">
        <v>594</v>
      </c>
      <c r="G195" s="55">
        <v>6</v>
      </c>
      <c r="H195" s="55">
        <v>0</v>
      </c>
      <c r="I195" s="55">
        <f t="shared" si="132"/>
        <v>0</v>
      </c>
      <c r="J195" s="55">
        <f t="shared" si="133"/>
        <v>0</v>
      </c>
      <c r="K195" s="55">
        <f t="shared" si="134"/>
        <v>0</v>
      </c>
      <c r="Y195" s="36">
        <f t="shared" si="135"/>
        <v>0</v>
      </c>
      <c r="AA195" s="36">
        <f t="shared" si="136"/>
        <v>0</v>
      </c>
      <c r="AB195" s="36">
        <f t="shared" si="137"/>
        <v>0</v>
      </c>
      <c r="AC195" s="36">
        <f t="shared" si="138"/>
        <v>0</v>
      </c>
      <c r="AD195" s="36">
        <f t="shared" si="139"/>
        <v>0</v>
      </c>
      <c r="AE195" s="36">
        <f t="shared" si="140"/>
        <v>0</v>
      </c>
      <c r="AF195" s="36">
        <f t="shared" si="141"/>
        <v>0</v>
      </c>
      <c r="AG195" s="36">
        <f t="shared" si="142"/>
        <v>0</v>
      </c>
      <c r="AH195" s="59" t="s">
        <v>74</v>
      </c>
      <c r="AI195" s="55">
        <f t="shared" si="143"/>
        <v>0</v>
      </c>
      <c r="AJ195" s="55">
        <f t="shared" si="144"/>
        <v>0</v>
      </c>
      <c r="AK195" s="55">
        <f t="shared" si="145"/>
        <v>0</v>
      </c>
      <c r="AM195" s="36">
        <v>21</v>
      </c>
      <c r="AN195" s="36">
        <f>H195*1</f>
        <v>0</v>
      </c>
      <c r="AO195" s="36">
        <f>H195*(1-1)</f>
        <v>0</v>
      </c>
      <c r="AP195" s="61" t="s">
        <v>121</v>
      </c>
      <c r="AU195" s="36">
        <f t="shared" si="146"/>
        <v>0</v>
      </c>
      <c r="AV195" s="36">
        <f t="shared" si="147"/>
        <v>0</v>
      </c>
      <c r="AW195" s="36">
        <f t="shared" si="148"/>
        <v>0</v>
      </c>
      <c r="AX195" s="62" t="s">
        <v>644</v>
      </c>
      <c r="AY195" s="62" t="s">
        <v>659</v>
      </c>
      <c r="AZ195" s="59" t="s">
        <v>665</v>
      </c>
      <c r="BB195" s="36">
        <f t="shared" si="149"/>
        <v>0</v>
      </c>
      <c r="BC195" s="36">
        <f t="shared" si="150"/>
        <v>0</v>
      </c>
      <c r="BD195" s="36">
        <v>0</v>
      </c>
      <c r="BE195" s="36">
        <f>195</f>
        <v>195</v>
      </c>
      <c r="BG195" s="55">
        <f t="shared" si="151"/>
        <v>0</v>
      </c>
      <c r="BH195" s="55">
        <f t="shared" si="152"/>
        <v>0</v>
      </c>
      <c r="BI195" s="55">
        <f t="shared" si="153"/>
        <v>0</v>
      </c>
    </row>
    <row r="196" spans="1:61" ht="12.75">
      <c r="A196" s="44" t="s">
        <v>239</v>
      </c>
      <c r="B196" s="44" t="s">
        <v>390</v>
      </c>
      <c r="C196" s="160" t="s">
        <v>576</v>
      </c>
      <c r="D196" s="161"/>
      <c r="E196" s="161"/>
      <c r="F196" s="44" t="s">
        <v>598</v>
      </c>
      <c r="G196" s="54">
        <v>3</v>
      </c>
      <c r="H196" s="54">
        <v>0</v>
      </c>
      <c r="I196" s="54">
        <f t="shared" si="132"/>
        <v>0</v>
      </c>
      <c r="J196" s="54">
        <f t="shared" si="133"/>
        <v>0</v>
      </c>
      <c r="K196" s="54">
        <f t="shared" si="134"/>
        <v>0</v>
      </c>
      <c r="Y196" s="36">
        <f t="shared" si="135"/>
        <v>0</v>
      </c>
      <c r="AA196" s="36">
        <f t="shared" si="136"/>
        <v>0</v>
      </c>
      <c r="AB196" s="36">
        <f t="shared" si="137"/>
        <v>0</v>
      </c>
      <c r="AC196" s="36">
        <f t="shared" si="138"/>
        <v>0</v>
      </c>
      <c r="AD196" s="36">
        <f t="shared" si="139"/>
        <v>0</v>
      </c>
      <c r="AE196" s="36">
        <f t="shared" si="140"/>
        <v>0</v>
      </c>
      <c r="AF196" s="36">
        <f t="shared" si="141"/>
        <v>0</v>
      </c>
      <c r="AG196" s="36">
        <f t="shared" si="142"/>
        <v>0</v>
      </c>
      <c r="AH196" s="59" t="s">
        <v>74</v>
      </c>
      <c r="AI196" s="54">
        <f t="shared" si="143"/>
        <v>0</v>
      </c>
      <c r="AJ196" s="54">
        <f t="shared" si="144"/>
        <v>0</v>
      </c>
      <c r="AK196" s="54">
        <f t="shared" si="145"/>
        <v>0</v>
      </c>
      <c r="AM196" s="36">
        <v>21</v>
      </c>
      <c r="AN196" s="36">
        <f>H196*0.416760330578512</f>
        <v>0</v>
      </c>
      <c r="AO196" s="36">
        <f>H196*(1-0.416760330578512)</f>
        <v>0</v>
      </c>
      <c r="AP196" s="60" t="s">
        <v>121</v>
      </c>
      <c r="AU196" s="36">
        <f t="shared" si="146"/>
        <v>0</v>
      </c>
      <c r="AV196" s="36">
        <f t="shared" si="147"/>
        <v>0</v>
      </c>
      <c r="AW196" s="36">
        <f t="shared" si="148"/>
        <v>0</v>
      </c>
      <c r="AX196" s="62" t="s">
        <v>644</v>
      </c>
      <c r="AY196" s="62" t="s">
        <v>659</v>
      </c>
      <c r="AZ196" s="59" t="s">
        <v>665</v>
      </c>
      <c r="BB196" s="36">
        <f t="shared" si="149"/>
        <v>0</v>
      </c>
      <c r="BC196" s="36">
        <f t="shared" si="150"/>
        <v>0</v>
      </c>
      <c r="BD196" s="36">
        <v>0</v>
      </c>
      <c r="BE196" s="36">
        <f>196</f>
        <v>196</v>
      </c>
      <c r="BG196" s="54">
        <f t="shared" si="151"/>
        <v>0</v>
      </c>
      <c r="BH196" s="54">
        <f t="shared" si="152"/>
        <v>0</v>
      </c>
      <c r="BI196" s="54">
        <f t="shared" si="153"/>
        <v>0</v>
      </c>
    </row>
    <row r="197" spans="1:61" ht="12.75">
      <c r="A197" s="45" t="s">
        <v>240</v>
      </c>
      <c r="B197" s="45" t="s">
        <v>391</v>
      </c>
      <c r="C197" s="162" t="s">
        <v>577</v>
      </c>
      <c r="D197" s="163"/>
      <c r="E197" s="163"/>
      <c r="F197" s="45" t="s">
        <v>594</v>
      </c>
      <c r="G197" s="55">
        <v>3</v>
      </c>
      <c r="H197" s="55">
        <v>0</v>
      </c>
      <c r="I197" s="55">
        <f t="shared" si="132"/>
        <v>0</v>
      </c>
      <c r="J197" s="55">
        <f t="shared" si="133"/>
        <v>0</v>
      </c>
      <c r="K197" s="55">
        <f t="shared" si="134"/>
        <v>0</v>
      </c>
      <c r="Y197" s="36">
        <f t="shared" si="135"/>
        <v>0</v>
      </c>
      <c r="AA197" s="36">
        <f t="shared" si="136"/>
        <v>0</v>
      </c>
      <c r="AB197" s="36">
        <f t="shared" si="137"/>
        <v>0</v>
      </c>
      <c r="AC197" s="36">
        <f t="shared" si="138"/>
        <v>0</v>
      </c>
      <c r="AD197" s="36">
        <f t="shared" si="139"/>
        <v>0</v>
      </c>
      <c r="AE197" s="36">
        <f t="shared" si="140"/>
        <v>0</v>
      </c>
      <c r="AF197" s="36">
        <f t="shared" si="141"/>
        <v>0</v>
      </c>
      <c r="AG197" s="36">
        <f t="shared" si="142"/>
        <v>0</v>
      </c>
      <c r="AH197" s="59" t="s">
        <v>74</v>
      </c>
      <c r="AI197" s="55">
        <f t="shared" si="143"/>
        <v>0</v>
      </c>
      <c r="AJ197" s="55">
        <f t="shared" si="144"/>
        <v>0</v>
      </c>
      <c r="AK197" s="55">
        <f t="shared" si="145"/>
        <v>0</v>
      </c>
      <c r="AM197" s="36">
        <v>21</v>
      </c>
      <c r="AN197" s="36">
        <f>H197*1</f>
        <v>0</v>
      </c>
      <c r="AO197" s="36">
        <f>H197*(1-1)</f>
        <v>0</v>
      </c>
      <c r="AP197" s="61" t="s">
        <v>121</v>
      </c>
      <c r="AU197" s="36">
        <f t="shared" si="146"/>
        <v>0</v>
      </c>
      <c r="AV197" s="36">
        <f t="shared" si="147"/>
        <v>0</v>
      </c>
      <c r="AW197" s="36">
        <f t="shared" si="148"/>
        <v>0</v>
      </c>
      <c r="AX197" s="62" t="s">
        <v>644</v>
      </c>
      <c r="AY197" s="62" t="s">
        <v>659</v>
      </c>
      <c r="AZ197" s="59" t="s">
        <v>665</v>
      </c>
      <c r="BB197" s="36">
        <f t="shared" si="149"/>
        <v>0</v>
      </c>
      <c r="BC197" s="36">
        <f t="shared" si="150"/>
        <v>0</v>
      </c>
      <c r="BD197" s="36">
        <v>0</v>
      </c>
      <c r="BE197" s="36">
        <f>197</f>
        <v>197</v>
      </c>
      <c r="BG197" s="55">
        <f t="shared" si="151"/>
        <v>0</v>
      </c>
      <c r="BH197" s="55">
        <f t="shared" si="152"/>
        <v>0</v>
      </c>
      <c r="BI197" s="55">
        <f t="shared" si="153"/>
        <v>0</v>
      </c>
    </row>
    <row r="198" spans="1:61" ht="12.75">
      <c r="A198" s="44" t="s">
        <v>241</v>
      </c>
      <c r="B198" s="44" t="s">
        <v>392</v>
      </c>
      <c r="C198" s="160" t="s">
        <v>578</v>
      </c>
      <c r="D198" s="161"/>
      <c r="E198" s="161"/>
      <c r="F198" s="44" t="s">
        <v>594</v>
      </c>
      <c r="G198" s="54">
        <v>9</v>
      </c>
      <c r="H198" s="54">
        <v>0</v>
      </c>
      <c r="I198" s="54">
        <f t="shared" si="132"/>
        <v>0</v>
      </c>
      <c r="J198" s="54">
        <f t="shared" si="133"/>
        <v>0</v>
      </c>
      <c r="K198" s="54">
        <f t="shared" si="134"/>
        <v>0</v>
      </c>
      <c r="Y198" s="36">
        <f t="shared" si="135"/>
        <v>0</v>
      </c>
      <c r="AA198" s="36">
        <f t="shared" si="136"/>
        <v>0</v>
      </c>
      <c r="AB198" s="36">
        <f t="shared" si="137"/>
        <v>0</v>
      </c>
      <c r="AC198" s="36">
        <f t="shared" si="138"/>
        <v>0</v>
      </c>
      <c r="AD198" s="36">
        <f t="shared" si="139"/>
        <v>0</v>
      </c>
      <c r="AE198" s="36">
        <f t="shared" si="140"/>
        <v>0</v>
      </c>
      <c r="AF198" s="36">
        <f t="shared" si="141"/>
        <v>0</v>
      </c>
      <c r="AG198" s="36">
        <f t="shared" si="142"/>
        <v>0</v>
      </c>
      <c r="AH198" s="59" t="s">
        <v>74</v>
      </c>
      <c r="AI198" s="54">
        <f t="shared" si="143"/>
        <v>0</v>
      </c>
      <c r="AJ198" s="54">
        <f t="shared" si="144"/>
        <v>0</v>
      </c>
      <c r="AK198" s="54">
        <f t="shared" si="145"/>
        <v>0</v>
      </c>
      <c r="AM198" s="36">
        <v>21</v>
      </c>
      <c r="AN198" s="36">
        <f>H198*0.755445255474453</f>
        <v>0</v>
      </c>
      <c r="AO198" s="36">
        <f>H198*(1-0.755445255474453)</f>
        <v>0</v>
      </c>
      <c r="AP198" s="60" t="s">
        <v>121</v>
      </c>
      <c r="AU198" s="36">
        <f t="shared" si="146"/>
        <v>0</v>
      </c>
      <c r="AV198" s="36">
        <f t="shared" si="147"/>
        <v>0</v>
      </c>
      <c r="AW198" s="36">
        <f t="shared" si="148"/>
        <v>0</v>
      </c>
      <c r="AX198" s="62" t="s">
        <v>644</v>
      </c>
      <c r="AY198" s="62" t="s">
        <v>659</v>
      </c>
      <c r="AZ198" s="59" t="s">
        <v>665</v>
      </c>
      <c r="BB198" s="36">
        <f t="shared" si="149"/>
        <v>0</v>
      </c>
      <c r="BC198" s="36">
        <f t="shared" si="150"/>
        <v>0</v>
      </c>
      <c r="BD198" s="36">
        <v>0</v>
      </c>
      <c r="BE198" s="36">
        <f>198</f>
        <v>198</v>
      </c>
      <c r="BG198" s="54">
        <f t="shared" si="151"/>
        <v>0</v>
      </c>
      <c r="BH198" s="54">
        <f t="shared" si="152"/>
        <v>0</v>
      </c>
      <c r="BI198" s="54">
        <f t="shared" si="153"/>
        <v>0</v>
      </c>
    </row>
    <row r="199" spans="1:61" ht="12.75">
      <c r="A199" s="44" t="s">
        <v>242</v>
      </c>
      <c r="B199" s="44" t="s">
        <v>393</v>
      </c>
      <c r="C199" s="160" t="s">
        <v>579</v>
      </c>
      <c r="D199" s="161"/>
      <c r="E199" s="161"/>
      <c r="F199" s="44" t="s">
        <v>594</v>
      </c>
      <c r="G199" s="54">
        <v>9</v>
      </c>
      <c r="H199" s="54">
        <v>0</v>
      </c>
      <c r="I199" s="54">
        <f t="shared" si="132"/>
        <v>0</v>
      </c>
      <c r="J199" s="54">
        <f t="shared" si="133"/>
        <v>0</v>
      </c>
      <c r="K199" s="54">
        <f t="shared" si="134"/>
        <v>0</v>
      </c>
      <c r="Y199" s="36">
        <f t="shared" si="135"/>
        <v>0</v>
      </c>
      <c r="AA199" s="36">
        <f t="shared" si="136"/>
        <v>0</v>
      </c>
      <c r="AB199" s="36">
        <f t="shared" si="137"/>
        <v>0</v>
      </c>
      <c r="AC199" s="36">
        <f t="shared" si="138"/>
        <v>0</v>
      </c>
      <c r="AD199" s="36">
        <f t="shared" si="139"/>
        <v>0</v>
      </c>
      <c r="AE199" s="36">
        <f t="shared" si="140"/>
        <v>0</v>
      </c>
      <c r="AF199" s="36">
        <f t="shared" si="141"/>
        <v>0</v>
      </c>
      <c r="AG199" s="36">
        <f t="shared" si="142"/>
        <v>0</v>
      </c>
      <c r="AH199" s="59" t="s">
        <v>74</v>
      </c>
      <c r="AI199" s="54">
        <f t="shared" si="143"/>
        <v>0</v>
      </c>
      <c r="AJ199" s="54">
        <f t="shared" si="144"/>
        <v>0</v>
      </c>
      <c r="AK199" s="54">
        <f t="shared" si="145"/>
        <v>0</v>
      </c>
      <c r="AM199" s="36">
        <v>21</v>
      </c>
      <c r="AN199" s="36">
        <f>H199*0.506976744186047</f>
        <v>0</v>
      </c>
      <c r="AO199" s="36">
        <f>H199*(1-0.506976744186047)</f>
        <v>0</v>
      </c>
      <c r="AP199" s="60" t="s">
        <v>121</v>
      </c>
      <c r="AU199" s="36">
        <f t="shared" si="146"/>
        <v>0</v>
      </c>
      <c r="AV199" s="36">
        <f t="shared" si="147"/>
        <v>0</v>
      </c>
      <c r="AW199" s="36">
        <f t="shared" si="148"/>
        <v>0</v>
      </c>
      <c r="AX199" s="62" t="s">
        <v>644</v>
      </c>
      <c r="AY199" s="62" t="s">
        <v>659</v>
      </c>
      <c r="AZ199" s="59" t="s">
        <v>665</v>
      </c>
      <c r="BB199" s="36">
        <f t="shared" si="149"/>
        <v>0</v>
      </c>
      <c r="BC199" s="36">
        <f t="shared" si="150"/>
        <v>0</v>
      </c>
      <c r="BD199" s="36">
        <v>0</v>
      </c>
      <c r="BE199" s="36">
        <f>199</f>
        <v>199</v>
      </c>
      <c r="BG199" s="54">
        <f t="shared" si="151"/>
        <v>0</v>
      </c>
      <c r="BH199" s="54">
        <f t="shared" si="152"/>
        <v>0</v>
      </c>
      <c r="BI199" s="54">
        <f t="shared" si="153"/>
        <v>0</v>
      </c>
    </row>
    <row r="200" spans="1:61" ht="12.75">
      <c r="A200" s="44" t="s">
        <v>243</v>
      </c>
      <c r="B200" s="44" t="s">
        <v>394</v>
      </c>
      <c r="C200" s="160" t="s">
        <v>580</v>
      </c>
      <c r="D200" s="161"/>
      <c r="E200" s="161"/>
      <c r="F200" s="44" t="s">
        <v>594</v>
      </c>
      <c r="G200" s="54">
        <v>9</v>
      </c>
      <c r="H200" s="54">
        <v>0</v>
      </c>
      <c r="I200" s="54">
        <f t="shared" si="132"/>
        <v>0</v>
      </c>
      <c r="J200" s="54">
        <f t="shared" si="133"/>
        <v>0</v>
      </c>
      <c r="K200" s="54">
        <f t="shared" si="134"/>
        <v>0</v>
      </c>
      <c r="Y200" s="36">
        <f t="shared" si="135"/>
        <v>0</v>
      </c>
      <c r="AA200" s="36">
        <f t="shared" si="136"/>
        <v>0</v>
      </c>
      <c r="AB200" s="36">
        <f t="shared" si="137"/>
        <v>0</v>
      </c>
      <c r="AC200" s="36">
        <f t="shared" si="138"/>
        <v>0</v>
      </c>
      <c r="AD200" s="36">
        <f t="shared" si="139"/>
        <v>0</v>
      </c>
      <c r="AE200" s="36">
        <f t="shared" si="140"/>
        <v>0</v>
      </c>
      <c r="AF200" s="36">
        <f t="shared" si="141"/>
        <v>0</v>
      </c>
      <c r="AG200" s="36">
        <f t="shared" si="142"/>
        <v>0</v>
      </c>
      <c r="AH200" s="59" t="s">
        <v>74</v>
      </c>
      <c r="AI200" s="54">
        <f t="shared" si="143"/>
        <v>0</v>
      </c>
      <c r="AJ200" s="54">
        <f t="shared" si="144"/>
        <v>0</v>
      </c>
      <c r="AK200" s="54">
        <f t="shared" si="145"/>
        <v>0</v>
      </c>
      <c r="AM200" s="36">
        <v>21</v>
      </c>
      <c r="AN200" s="36">
        <f>H200*0</f>
        <v>0</v>
      </c>
      <c r="AO200" s="36">
        <f>H200*(1-0)</f>
        <v>0</v>
      </c>
      <c r="AP200" s="60" t="s">
        <v>121</v>
      </c>
      <c r="AU200" s="36">
        <f t="shared" si="146"/>
        <v>0</v>
      </c>
      <c r="AV200" s="36">
        <f t="shared" si="147"/>
        <v>0</v>
      </c>
      <c r="AW200" s="36">
        <f t="shared" si="148"/>
        <v>0</v>
      </c>
      <c r="AX200" s="62" t="s">
        <v>644</v>
      </c>
      <c r="AY200" s="62" t="s">
        <v>659</v>
      </c>
      <c r="AZ200" s="59" t="s">
        <v>665</v>
      </c>
      <c r="BB200" s="36">
        <f t="shared" si="149"/>
        <v>0</v>
      </c>
      <c r="BC200" s="36">
        <f t="shared" si="150"/>
        <v>0</v>
      </c>
      <c r="BD200" s="36">
        <v>0</v>
      </c>
      <c r="BE200" s="36">
        <f>200</f>
        <v>200</v>
      </c>
      <c r="BG200" s="54">
        <f t="shared" si="151"/>
        <v>0</v>
      </c>
      <c r="BH200" s="54">
        <f t="shared" si="152"/>
        <v>0</v>
      </c>
      <c r="BI200" s="54">
        <f t="shared" si="153"/>
        <v>0</v>
      </c>
    </row>
    <row r="201" spans="1:61" ht="12.75">
      <c r="A201" s="44" t="s">
        <v>244</v>
      </c>
      <c r="B201" s="44" t="s">
        <v>395</v>
      </c>
      <c r="C201" s="160" t="s">
        <v>581</v>
      </c>
      <c r="D201" s="161"/>
      <c r="E201" s="161"/>
      <c r="F201" s="44" t="s">
        <v>595</v>
      </c>
      <c r="G201" s="54">
        <v>20</v>
      </c>
      <c r="H201" s="54">
        <v>0</v>
      </c>
      <c r="I201" s="54">
        <f t="shared" si="132"/>
        <v>0</v>
      </c>
      <c r="J201" s="54">
        <f t="shared" si="133"/>
        <v>0</v>
      </c>
      <c r="K201" s="54">
        <f t="shared" si="134"/>
        <v>0</v>
      </c>
      <c r="Y201" s="36">
        <f t="shared" si="135"/>
        <v>0</v>
      </c>
      <c r="AA201" s="36">
        <f t="shared" si="136"/>
        <v>0</v>
      </c>
      <c r="AB201" s="36">
        <f t="shared" si="137"/>
        <v>0</v>
      </c>
      <c r="AC201" s="36">
        <f t="shared" si="138"/>
        <v>0</v>
      </c>
      <c r="AD201" s="36">
        <f t="shared" si="139"/>
        <v>0</v>
      </c>
      <c r="AE201" s="36">
        <f t="shared" si="140"/>
        <v>0</v>
      </c>
      <c r="AF201" s="36">
        <f t="shared" si="141"/>
        <v>0</v>
      </c>
      <c r="AG201" s="36">
        <f t="shared" si="142"/>
        <v>0</v>
      </c>
      <c r="AH201" s="59" t="s">
        <v>74</v>
      </c>
      <c r="AI201" s="54">
        <f t="shared" si="143"/>
        <v>0</v>
      </c>
      <c r="AJ201" s="54">
        <f t="shared" si="144"/>
        <v>0</v>
      </c>
      <c r="AK201" s="54">
        <f t="shared" si="145"/>
        <v>0</v>
      </c>
      <c r="AM201" s="36">
        <v>21</v>
      </c>
      <c r="AN201" s="36">
        <f>H201*0</f>
        <v>0</v>
      </c>
      <c r="AO201" s="36">
        <f>H201*(1-0)</f>
        <v>0</v>
      </c>
      <c r="AP201" s="60" t="s">
        <v>121</v>
      </c>
      <c r="AU201" s="36">
        <f t="shared" si="146"/>
        <v>0</v>
      </c>
      <c r="AV201" s="36">
        <f t="shared" si="147"/>
        <v>0</v>
      </c>
      <c r="AW201" s="36">
        <f t="shared" si="148"/>
        <v>0</v>
      </c>
      <c r="AX201" s="62" t="s">
        <v>644</v>
      </c>
      <c r="AY201" s="62" t="s">
        <v>659</v>
      </c>
      <c r="AZ201" s="59" t="s">
        <v>665</v>
      </c>
      <c r="BB201" s="36">
        <f t="shared" si="149"/>
        <v>0</v>
      </c>
      <c r="BC201" s="36">
        <f t="shared" si="150"/>
        <v>0</v>
      </c>
      <c r="BD201" s="36">
        <v>0</v>
      </c>
      <c r="BE201" s="36">
        <f>201</f>
        <v>201</v>
      </c>
      <c r="BG201" s="54">
        <f t="shared" si="151"/>
        <v>0</v>
      </c>
      <c r="BH201" s="54">
        <f t="shared" si="152"/>
        <v>0</v>
      </c>
      <c r="BI201" s="54">
        <f t="shared" si="153"/>
        <v>0</v>
      </c>
    </row>
    <row r="202" spans="1:61" ht="12.75">
      <c r="A202" s="44" t="s">
        <v>245</v>
      </c>
      <c r="B202" s="44" t="s">
        <v>396</v>
      </c>
      <c r="C202" s="160" t="s">
        <v>582</v>
      </c>
      <c r="D202" s="161"/>
      <c r="E202" s="161"/>
      <c r="F202" s="44" t="s">
        <v>595</v>
      </c>
      <c r="G202" s="54">
        <v>18</v>
      </c>
      <c r="H202" s="54">
        <v>0</v>
      </c>
      <c r="I202" s="54">
        <f t="shared" si="132"/>
        <v>0</v>
      </c>
      <c r="J202" s="54">
        <f t="shared" si="133"/>
        <v>0</v>
      </c>
      <c r="K202" s="54">
        <f t="shared" si="134"/>
        <v>0</v>
      </c>
      <c r="Y202" s="36">
        <f t="shared" si="135"/>
        <v>0</v>
      </c>
      <c r="AA202" s="36">
        <f t="shared" si="136"/>
        <v>0</v>
      </c>
      <c r="AB202" s="36">
        <f t="shared" si="137"/>
        <v>0</v>
      </c>
      <c r="AC202" s="36">
        <f t="shared" si="138"/>
        <v>0</v>
      </c>
      <c r="AD202" s="36">
        <f t="shared" si="139"/>
        <v>0</v>
      </c>
      <c r="AE202" s="36">
        <f t="shared" si="140"/>
        <v>0</v>
      </c>
      <c r="AF202" s="36">
        <f t="shared" si="141"/>
        <v>0</v>
      </c>
      <c r="AG202" s="36">
        <f t="shared" si="142"/>
        <v>0</v>
      </c>
      <c r="AH202" s="59" t="s">
        <v>74</v>
      </c>
      <c r="AI202" s="54">
        <f t="shared" si="143"/>
        <v>0</v>
      </c>
      <c r="AJ202" s="54">
        <f t="shared" si="144"/>
        <v>0</v>
      </c>
      <c r="AK202" s="54">
        <f t="shared" si="145"/>
        <v>0</v>
      </c>
      <c r="AM202" s="36">
        <v>21</v>
      </c>
      <c r="AN202" s="36">
        <f>H202*0</f>
        <v>0</v>
      </c>
      <c r="AO202" s="36">
        <f>H202*(1-0)</f>
        <v>0</v>
      </c>
      <c r="AP202" s="60" t="s">
        <v>121</v>
      </c>
      <c r="AU202" s="36">
        <f t="shared" si="146"/>
        <v>0</v>
      </c>
      <c r="AV202" s="36">
        <f t="shared" si="147"/>
        <v>0</v>
      </c>
      <c r="AW202" s="36">
        <f t="shared" si="148"/>
        <v>0</v>
      </c>
      <c r="AX202" s="62" t="s">
        <v>644</v>
      </c>
      <c r="AY202" s="62" t="s">
        <v>659</v>
      </c>
      <c r="AZ202" s="59" t="s">
        <v>665</v>
      </c>
      <c r="BB202" s="36">
        <f t="shared" si="149"/>
        <v>0</v>
      </c>
      <c r="BC202" s="36">
        <f t="shared" si="150"/>
        <v>0</v>
      </c>
      <c r="BD202" s="36">
        <v>0</v>
      </c>
      <c r="BE202" s="36">
        <f>202</f>
        <v>202</v>
      </c>
      <c r="BG202" s="54">
        <f t="shared" si="151"/>
        <v>0</v>
      </c>
      <c r="BH202" s="54">
        <f t="shared" si="152"/>
        <v>0</v>
      </c>
      <c r="BI202" s="54">
        <f t="shared" si="153"/>
        <v>0</v>
      </c>
    </row>
    <row r="203" spans="1:61" ht="12.75">
      <c r="A203" s="44" t="s">
        <v>246</v>
      </c>
      <c r="B203" s="44" t="s">
        <v>397</v>
      </c>
      <c r="C203" s="160" t="s">
        <v>583</v>
      </c>
      <c r="D203" s="161"/>
      <c r="E203" s="161"/>
      <c r="F203" s="44" t="s">
        <v>592</v>
      </c>
      <c r="G203" s="54">
        <v>0.06</v>
      </c>
      <c r="H203" s="54">
        <v>0</v>
      </c>
      <c r="I203" s="54">
        <f t="shared" si="132"/>
        <v>0</v>
      </c>
      <c r="J203" s="54">
        <f t="shared" si="133"/>
        <v>0</v>
      </c>
      <c r="K203" s="54">
        <f t="shared" si="134"/>
        <v>0</v>
      </c>
      <c r="Y203" s="36">
        <f t="shared" si="135"/>
        <v>0</v>
      </c>
      <c r="AA203" s="36">
        <f t="shared" si="136"/>
        <v>0</v>
      </c>
      <c r="AB203" s="36">
        <f t="shared" si="137"/>
        <v>0</v>
      </c>
      <c r="AC203" s="36">
        <f t="shared" si="138"/>
        <v>0</v>
      </c>
      <c r="AD203" s="36">
        <f t="shared" si="139"/>
        <v>0</v>
      </c>
      <c r="AE203" s="36">
        <f t="shared" si="140"/>
        <v>0</v>
      </c>
      <c r="AF203" s="36">
        <f t="shared" si="141"/>
        <v>0</v>
      </c>
      <c r="AG203" s="36">
        <f t="shared" si="142"/>
        <v>0</v>
      </c>
      <c r="AH203" s="59" t="s">
        <v>74</v>
      </c>
      <c r="AI203" s="54">
        <f t="shared" si="143"/>
        <v>0</v>
      </c>
      <c r="AJ203" s="54">
        <f t="shared" si="144"/>
        <v>0</v>
      </c>
      <c r="AK203" s="54">
        <f t="shared" si="145"/>
        <v>0</v>
      </c>
      <c r="AM203" s="36">
        <v>21</v>
      </c>
      <c r="AN203" s="36">
        <f>H203*0</f>
        <v>0</v>
      </c>
      <c r="AO203" s="36">
        <f>H203*(1-0)</f>
        <v>0</v>
      </c>
      <c r="AP203" s="60" t="s">
        <v>120</v>
      </c>
      <c r="AU203" s="36">
        <f t="shared" si="146"/>
        <v>0</v>
      </c>
      <c r="AV203" s="36">
        <f t="shared" si="147"/>
        <v>0</v>
      </c>
      <c r="AW203" s="36">
        <f t="shared" si="148"/>
        <v>0</v>
      </c>
      <c r="AX203" s="62" t="s">
        <v>644</v>
      </c>
      <c r="AY203" s="62" t="s">
        <v>659</v>
      </c>
      <c r="AZ203" s="59" t="s">
        <v>665</v>
      </c>
      <c r="BB203" s="36">
        <f t="shared" si="149"/>
        <v>0</v>
      </c>
      <c r="BC203" s="36">
        <f t="shared" si="150"/>
        <v>0</v>
      </c>
      <c r="BD203" s="36">
        <v>0</v>
      </c>
      <c r="BE203" s="36">
        <f>203</f>
        <v>203</v>
      </c>
      <c r="BG203" s="54">
        <f t="shared" si="151"/>
        <v>0</v>
      </c>
      <c r="BH203" s="54">
        <f t="shared" si="152"/>
        <v>0</v>
      </c>
      <c r="BI203" s="54">
        <f t="shared" si="153"/>
        <v>0</v>
      </c>
    </row>
    <row r="204" spans="1:11" ht="12.75">
      <c r="A204" s="46"/>
      <c r="B204" s="52"/>
      <c r="C204" s="166" t="s">
        <v>83</v>
      </c>
      <c r="D204" s="167"/>
      <c r="E204" s="167"/>
      <c r="F204" s="46" t="s">
        <v>69</v>
      </c>
      <c r="G204" s="46" t="s">
        <v>69</v>
      </c>
      <c r="H204" s="46" t="s">
        <v>69</v>
      </c>
      <c r="I204" s="65">
        <f>I205</f>
        <v>0</v>
      </c>
      <c r="J204" s="65">
        <f>J205</f>
        <v>0</v>
      </c>
      <c r="K204" s="65">
        <f>K205</f>
        <v>0</v>
      </c>
    </row>
    <row r="205" spans="1:46" ht="12.75">
      <c r="A205" s="43"/>
      <c r="B205" s="51" t="s">
        <v>398</v>
      </c>
      <c r="C205" s="158" t="s">
        <v>584</v>
      </c>
      <c r="D205" s="159"/>
      <c r="E205" s="159"/>
      <c r="F205" s="43" t="s">
        <v>69</v>
      </c>
      <c r="G205" s="43" t="s">
        <v>69</v>
      </c>
      <c r="H205" s="43" t="s">
        <v>69</v>
      </c>
      <c r="I205" s="64">
        <f>SUM(I206:I206)</f>
        <v>0</v>
      </c>
      <c r="J205" s="64">
        <f>SUM(J206:J206)</f>
        <v>0</v>
      </c>
      <c r="K205" s="64">
        <f>SUM(K206:K206)</f>
        <v>0</v>
      </c>
      <c r="AH205" s="59" t="s">
        <v>75</v>
      </c>
      <c r="AR205" s="64">
        <f>SUM(AI206:AI206)</f>
        <v>0</v>
      </c>
      <c r="AS205" s="64">
        <f>SUM(AJ206:AJ206)</f>
        <v>0</v>
      </c>
      <c r="AT205" s="64">
        <f>SUM(AK206:AK206)</f>
        <v>0</v>
      </c>
    </row>
    <row r="206" spans="1:61" ht="12.75">
      <c r="A206" s="44" t="s">
        <v>247</v>
      </c>
      <c r="B206" s="44" t="s">
        <v>399</v>
      </c>
      <c r="C206" s="160" t="s">
        <v>585</v>
      </c>
      <c r="D206" s="161"/>
      <c r="E206" s="161"/>
      <c r="F206" s="44" t="s">
        <v>598</v>
      </c>
      <c r="G206" s="54">
        <v>3</v>
      </c>
      <c r="H206" s="54">
        <v>0</v>
      </c>
      <c r="I206" s="54">
        <f>G206*AN206</f>
        <v>0</v>
      </c>
      <c r="J206" s="54">
        <f>G206*AO206</f>
        <v>0</v>
      </c>
      <c r="K206" s="54">
        <f>G206*H206</f>
        <v>0</v>
      </c>
      <c r="Y206" s="36">
        <f>IF(AP206="5",BI206,0)</f>
        <v>0</v>
      </c>
      <c r="AA206" s="36">
        <f>IF(AP206="1",BG206,0)</f>
        <v>0</v>
      </c>
      <c r="AB206" s="36">
        <f>IF(AP206="1",BH206,0)</f>
        <v>0</v>
      </c>
      <c r="AC206" s="36">
        <f>IF(AP206="7",BG206,0)</f>
        <v>0</v>
      </c>
      <c r="AD206" s="36">
        <f>IF(AP206="7",BH206,0)</f>
        <v>0</v>
      </c>
      <c r="AE206" s="36">
        <f>IF(AP206="2",BG206,0)</f>
        <v>0</v>
      </c>
      <c r="AF206" s="36">
        <f>IF(AP206="2",BH206,0)</f>
        <v>0</v>
      </c>
      <c r="AG206" s="36">
        <f>IF(AP206="0",BI206,0)</f>
        <v>0</v>
      </c>
      <c r="AH206" s="59" t="s">
        <v>75</v>
      </c>
      <c r="AI206" s="54">
        <f>IF(AM206=0,K206,0)</f>
        <v>0</v>
      </c>
      <c r="AJ206" s="54">
        <f>IF(AM206=15,K206,0)</f>
        <v>0</v>
      </c>
      <c r="AK206" s="54">
        <f>IF(AM206=21,K206,0)</f>
        <v>0</v>
      </c>
      <c r="AM206" s="36">
        <v>21</v>
      </c>
      <c r="AN206" s="36">
        <f>H206*0</f>
        <v>0</v>
      </c>
      <c r="AO206" s="36">
        <f>H206*(1-0)</f>
        <v>0</v>
      </c>
      <c r="AP206" s="60" t="s">
        <v>118</v>
      </c>
      <c r="AU206" s="36">
        <f>AV206+AW206</f>
        <v>0</v>
      </c>
      <c r="AV206" s="36">
        <f>G206*AN206</f>
        <v>0</v>
      </c>
      <c r="AW206" s="36">
        <f>G206*AO206</f>
        <v>0</v>
      </c>
      <c r="AX206" s="62" t="s">
        <v>645</v>
      </c>
      <c r="AY206" s="62" t="s">
        <v>660</v>
      </c>
      <c r="AZ206" s="59" t="s">
        <v>666</v>
      </c>
      <c r="BB206" s="36">
        <f>AV206+AW206</f>
        <v>0</v>
      </c>
      <c r="BC206" s="36">
        <f>H206/(100-BD206)*100</f>
        <v>0</v>
      </c>
      <c r="BD206" s="36">
        <v>0</v>
      </c>
      <c r="BE206" s="36">
        <f>206</f>
        <v>206</v>
      </c>
      <c r="BG206" s="54">
        <f>G206*AN206</f>
        <v>0</v>
      </c>
      <c r="BH206" s="54">
        <f>G206*AO206</f>
        <v>0</v>
      </c>
      <c r="BI206" s="54">
        <f>G206*H206</f>
        <v>0</v>
      </c>
    </row>
    <row r="207" spans="1:11" ht="12.75">
      <c r="A207" s="46"/>
      <c r="B207" s="52"/>
      <c r="C207" s="166" t="s">
        <v>84</v>
      </c>
      <c r="D207" s="167"/>
      <c r="E207" s="167"/>
      <c r="F207" s="46" t="s">
        <v>69</v>
      </c>
      <c r="G207" s="46" t="s">
        <v>69</v>
      </c>
      <c r="H207" s="46" t="s">
        <v>69</v>
      </c>
      <c r="I207" s="65">
        <f>I208</f>
        <v>0</v>
      </c>
      <c r="J207" s="65">
        <f>J208</f>
        <v>0</v>
      </c>
      <c r="K207" s="65">
        <f>K208</f>
        <v>0</v>
      </c>
    </row>
    <row r="208" spans="1:46" ht="12.75">
      <c r="A208" s="43"/>
      <c r="B208" s="51"/>
      <c r="C208" s="158" t="s">
        <v>10</v>
      </c>
      <c r="D208" s="159"/>
      <c r="E208" s="159"/>
      <c r="F208" s="43" t="s">
        <v>69</v>
      </c>
      <c r="G208" s="43" t="s">
        <v>69</v>
      </c>
      <c r="H208" s="43" t="s">
        <v>69</v>
      </c>
      <c r="I208" s="64">
        <f>SUM(I209:I211)</f>
        <v>0</v>
      </c>
      <c r="J208" s="64">
        <f>SUM(J209:J211)</f>
        <v>0</v>
      </c>
      <c r="K208" s="64">
        <f>SUM(K209:K211)</f>
        <v>0</v>
      </c>
      <c r="AH208" s="59" t="s">
        <v>76</v>
      </c>
      <c r="AR208" s="64">
        <f>SUM(AI209:AI211)</f>
        <v>0</v>
      </c>
      <c r="AS208" s="64">
        <f>SUM(AJ209:AJ211)</f>
        <v>0</v>
      </c>
      <c r="AT208" s="64">
        <f>SUM(AK209:AK211)</f>
        <v>0</v>
      </c>
    </row>
    <row r="209" spans="1:61" ht="12.75">
      <c r="A209" s="45" t="s">
        <v>248</v>
      </c>
      <c r="B209" s="45" t="s">
        <v>400</v>
      </c>
      <c r="C209" s="162" t="s">
        <v>586</v>
      </c>
      <c r="D209" s="163"/>
      <c r="E209" s="163"/>
      <c r="F209" s="45" t="s">
        <v>598</v>
      </c>
      <c r="G209" s="55">
        <v>9</v>
      </c>
      <c r="H209" s="55">
        <v>0</v>
      </c>
      <c r="I209" s="55">
        <f>G209*AN209</f>
        <v>0</v>
      </c>
      <c r="J209" s="55">
        <f>G209*AO209</f>
        <v>0</v>
      </c>
      <c r="K209" s="55">
        <f>G209*H209</f>
        <v>0</v>
      </c>
      <c r="Y209" s="36">
        <f>IF(AP209="5",BI209,0)</f>
        <v>0</v>
      </c>
      <c r="AA209" s="36">
        <f>IF(AP209="1",BG209,0)</f>
        <v>0</v>
      </c>
      <c r="AB209" s="36">
        <f>IF(AP209="1",BH209,0)</f>
        <v>0</v>
      </c>
      <c r="AC209" s="36">
        <f>IF(AP209="7",BG209,0)</f>
        <v>0</v>
      </c>
      <c r="AD209" s="36">
        <f>IF(AP209="7",BH209,0)</f>
        <v>0</v>
      </c>
      <c r="AE209" s="36">
        <f>IF(AP209="2",BG209,0)</f>
        <v>0</v>
      </c>
      <c r="AF209" s="36">
        <f>IF(AP209="2",BH209,0)</f>
        <v>0</v>
      </c>
      <c r="AG209" s="36">
        <f>IF(AP209="0",BI209,0)</f>
        <v>0</v>
      </c>
      <c r="AH209" s="59" t="s">
        <v>76</v>
      </c>
      <c r="AI209" s="55">
        <f>IF(AM209=0,K209,0)</f>
        <v>0</v>
      </c>
      <c r="AJ209" s="55">
        <f>IF(AM209=15,K209,0)</f>
        <v>0</v>
      </c>
      <c r="AK209" s="55">
        <f>IF(AM209=21,K209,0)</f>
        <v>0</v>
      </c>
      <c r="AM209" s="36">
        <v>21</v>
      </c>
      <c r="AN209" s="36">
        <f>H209*1</f>
        <v>0</v>
      </c>
      <c r="AO209" s="36">
        <f>H209*(1-1)</f>
        <v>0</v>
      </c>
      <c r="AP209" s="61" t="s">
        <v>616</v>
      </c>
      <c r="AU209" s="36">
        <f>AV209+AW209</f>
        <v>0</v>
      </c>
      <c r="AV209" s="36">
        <f>G209*AN209</f>
        <v>0</v>
      </c>
      <c r="AW209" s="36">
        <f>G209*AO209</f>
        <v>0</v>
      </c>
      <c r="AX209" s="62" t="s">
        <v>637</v>
      </c>
      <c r="AY209" s="62" t="s">
        <v>661</v>
      </c>
      <c r="AZ209" s="59" t="s">
        <v>667</v>
      </c>
      <c r="BB209" s="36">
        <f>AV209+AW209</f>
        <v>0</v>
      </c>
      <c r="BC209" s="36">
        <f>H209/(100-BD209)*100</f>
        <v>0</v>
      </c>
      <c r="BD209" s="36">
        <v>0</v>
      </c>
      <c r="BE209" s="36">
        <f>209</f>
        <v>209</v>
      </c>
      <c r="BG209" s="55">
        <f>G209*AN209</f>
        <v>0</v>
      </c>
      <c r="BH209" s="55">
        <f>G209*AO209</f>
        <v>0</v>
      </c>
      <c r="BI209" s="55">
        <f>G209*H209</f>
        <v>0</v>
      </c>
    </row>
    <row r="210" spans="1:61" ht="12.75">
      <c r="A210" s="45" t="s">
        <v>249</v>
      </c>
      <c r="B210" s="45" t="s">
        <v>401</v>
      </c>
      <c r="C210" s="162" t="s">
        <v>587</v>
      </c>
      <c r="D210" s="163"/>
      <c r="E210" s="163"/>
      <c r="F210" s="45" t="s">
        <v>598</v>
      </c>
      <c r="G210" s="55">
        <v>1</v>
      </c>
      <c r="H210" s="55">
        <v>0</v>
      </c>
      <c r="I210" s="55">
        <f>G210*AN210</f>
        <v>0</v>
      </c>
      <c r="J210" s="55">
        <f>G210*AO210</f>
        <v>0</v>
      </c>
      <c r="K210" s="55">
        <f>G210*H210</f>
        <v>0</v>
      </c>
      <c r="Y210" s="36">
        <f>IF(AP210="5",BI210,0)</f>
        <v>0</v>
      </c>
      <c r="AA210" s="36">
        <f>IF(AP210="1",BG210,0)</f>
        <v>0</v>
      </c>
      <c r="AB210" s="36">
        <f>IF(AP210="1",BH210,0)</f>
        <v>0</v>
      </c>
      <c r="AC210" s="36">
        <f>IF(AP210="7",BG210,0)</f>
        <v>0</v>
      </c>
      <c r="AD210" s="36">
        <f>IF(AP210="7",BH210,0)</f>
        <v>0</v>
      </c>
      <c r="AE210" s="36">
        <f>IF(AP210="2",BG210,0)</f>
        <v>0</v>
      </c>
      <c r="AF210" s="36">
        <f>IF(AP210="2",BH210,0)</f>
        <v>0</v>
      </c>
      <c r="AG210" s="36">
        <f>IF(AP210="0",BI210,0)</f>
        <v>0</v>
      </c>
      <c r="AH210" s="59" t="s">
        <v>76</v>
      </c>
      <c r="AI210" s="55">
        <f>IF(AM210=0,K210,0)</f>
        <v>0</v>
      </c>
      <c r="AJ210" s="55">
        <f>IF(AM210=15,K210,0)</f>
        <v>0</v>
      </c>
      <c r="AK210" s="55">
        <f>IF(AM210=21,K210,0)</f>
        <v>0</v>
      </c>
      <c r="AM210" s="36">
        <v>21</v>
      </c>
      <c r="AN210" s="36">
        <f>H210*1</f>
        <v>0</v>
      </c>
      <c r="AO210" s="36">
        <f>H210*(1-1)</f>
        <v>0</v>
      </c>
      <c r="AP210" s="61" t="s">
        <v>616</v>
      </c>
      <c r="AU210" s="36">
        <f>AV210+AW210</f>
        <v>0</v>
      </c>
      <c r="AV210" s="36">
        <f>G210*AN210</f>
        <v>0</v>
      </c>
      <c r="AW210" s="36">
        <f>G210*AO210</f>
        <v>0</v>
      </c>
      <c r="AX210" s="62" t="s">
        <v>637</v>
      </c>
      <c r="AY210" s="62" t="s">
        <v>661</v>
      </c>
      <c r="AZ210" s="59" t="s">
        <v>667</v>
      </c>
      <c r="BB210" s="36">
        <f>AV210+AW210</f>
        <v>0</v>
      </c>
      <c r="BC210" s="36">
        <f>H210/(100-BD210)*100</f>
        <v>0</v>
      </c>
      <c r="BD210" s="36">
        <v>0</v>
      </c>
      <c r="BE210" s="36">
        <f>210</f>
        <v>210</v>
      </c>
      <c r="BG210" s="55">
        <f>G210*AN210</f>
        <v>0</v>
      </c>
      <c r="BH210" s="55">
        <f>G210*AO210</f>
        <v>0</v>
      </c>
      <c r="BI210" s="55">
        <f>G210*H210</f>
        <v>0</v>
      </c>
    </row>
    <row r="211" spans="1:61" ht="12.75">
      <c r="A211" s="47" t="s">
        <v>55</v>
      </c>
      <c r="B211" s="47" t="s">
        <v>402</v>
      </c>
      <c r="C211" s="168" t="s">
        <v>588</v>
      </c>
      <c r="D211" s="169"/>
      <c r="E211" s="169"/>
      <c r="F211" s="47" t="s">
        <v>598</v>
      </c>
      <c r="G211" s="56">
        <v>1</v>
      </c>
      <c r="H211" s="56">
        <v>0</v>
      </c>
      <c r="I211" s="56">
        <f>G211*AN211</f>
        <v>0</v>
      </c>
      <c r="J211" s="56">
        <f>G211*AO211</f>
        <v>0</v>
      </c>
      <c r="K211" s="56">
        <f>G211*H211</f>
        <v>0</v>
      </c>
      <c r="Y211" s="36">
        <f>IF(AP211="5",BI211,0)</f>
        <v>0</v>
      </c>
      <c r="AA211" s="36">
        <f>IF(AP211="1",BG211,0)</f>
        <v>0</v>
      </c>
      <c r="AB211" s="36">
        <f>IF(AP211="1",BH211,0)</f>
        <v>0</v>
      </c>
      <c r="AC211" s="36">
        <f>IF(AP211="7",BG211,0)</f>
        <v>0</v>
      </c>
      <c r="AD211" s="36">
        <f>IF(AP211="7",BH211,0)</f>
        <v>0</v>
      </c>
      <c r="AE211" s="36">
        <f>IF(AP211="2",BG211,0)</f>
        <v>0</v>
      </c>
      <c r="AF211" s="36">
        <f>IF(AP211="2",BH211,0)</f>
        <v>0</v>
      </c>
      <c r="AG211" s="36">
        <f>IF(AP211="0",BI211,0)</f>
        <v>0</v>
      </c>
      <c r="AH211" s="59" t="s">
        <v>76</v>
      </c>
      <c r="AI211" s="55">
        <f>IF(AM211=0,K211,0)</f>
        <v>0</v>
      </c>
      <c r="AJ211" s="55">
        <f>IF(AM211=15,K211,0)</f>
        <v>0</v>
      </c>
      <c r="AK211" s="55">
        <f>IF(AM211=21,K211,0)</f>
        <v>0</v>
      </c>
      <c r="AM211" s="36">
        <v>21</v>
      </c>
      <c r="AN211" s="36">
        <f>H211*1</f>
        <v>0</v>
      </c>
      <c r="AO211" s="36">
        <f>H211*(1-1)</f>
        <v>0</v>
      </c>
      <c r="AP211" s="61" t="s">
        <v>616</v>
      </c>
      <c r="AU211" s="36">
        <f>AV211+AW211</f>
        <v>0</v>
      </c>
      <c r="AV211" s="36">
        <f>G211*AN211</f>
        <v>0</v>
      </c>
      <c r="AW211" s="36">
        <f>G211*AO211</f>
        <v>0</v>
      </c>
      <c r="AX211" s="62" t="s">
        <v>637</v>
      </c>
      <c r="AY211" s="62" t="s">
        <v>661</v>
      </c>
      <c r="AZ211" s="59" t="s">
        <v>667</v>
      </c>
      <c r="BB211" s="36">
        <f>AV211+AW211</f>
        <v>0</v>
      </c>
      <c r="BC211" s="36">
        <f>H211/(100-BD211)*100</f>
        <v>0</v>
      </c>
      <c r="BD211" s="36">
        <v>0</v>
      </c>
      <c r="BE211" s="36">
        <f>211</f>
        <v>211</v>
      </c>
      <c r="BG211" s="55">
        <f>G211*AN211</f>
        <v>0</v>
      </c>
      <c r="BH211" s="55">
        <f>G211*AO211</f>
        <v>0</v>
      </c>
      <c r="BI211" s="55">
        <f>G211*H211</f>
        <v>0</v>
      </c>
    </row>
    <row r="212" spans="1:11" ht="12.75">
      <c r="A212" s="5"/>
      <c r="B212" s="5"/>
      <c r="C212" s="5"/>
      <c r="D212" s="5"/>
      <c r="E212" s="5"/>
      <c r="F212" s="5"/>
      <c r="G212" s="5"/>
      <c r="H212" s="5"/>
      <c r="I212" s="140" t="s">
        <v>89</v>
      </c>
      <c r="J212" s="82"/>
      <c r="K212" s="39">
        <f>K13+K16+K27+K32+K39+K43+K47+K55+K59+K66+K70+K79+K82+K85+K87+K90+K92+K105+K109+K113+K116+K120+K132+K154+K158+K172+K174+K176+K180+K193+K205+K208</f>
        <v>0</v>
      </c>
    </row>
    <row r="213" ht="11.25" customHeight="1">
      <c r="A213" s="32" t="s">
        <v>18</v>
      </c>
    </row>
    <row r="214" spans="1:11" ht="25.5" customHeight="1">
      <c r="A214" s="88" t="s">
        <v>77</v>
      </c>
      <c r="B214" s="80"/>
      <c r="C214" s="80"/>
      <c r="D214" s="80"/>
      <c r="E214" s="80"/>
      <c r="F214" s="80"/>
      <c r="G214" s="80"/>
      <c r="H214" s="80"/>
      <c r="I214" s="80"/>
      <c r="J214" s="80"/>
      <c r="K214" s="80"/>
    </row>
  </sheetData>
  <sheetProtection/>
  <mergeCells count="230">
    <mergeCell ref="A214:K214"/>
    <mergeCell ref="C207:E207"/>
    <mergeCell ref="C208:E208"/>
    <mergeCell ref="C209:E209"/>
    <mergeCell ref="C210:E210"/>
    <mergeCell ref="C211:E211"/>
    <mergeCell ref="I212:J212"/>
    <mergeCell ref="C201:E201"/>
    <mergeCell ref="C202:E202"/>
    <mergeCell ref="C203:E203"/>
    <mergeCell ref="C204:E204"/>
    <mergeCell ref="C205:E205"/>
    <mergeCell ref="C206:E206"/>
    <mergeCell ref="C195:E195"/>
    <mergeCell ref="C196:E196"/>
    <mergeCell ref="C197:E197"/>
    <mergeCell ref="C198:E198"/>
    <mergeCell ref="C199:E199"/>
    <mergeCell ref="C200:E200"/>
    <mergeCell ref="C189:E189"/>
    <mergeCell ref="C190:E190"/>
    <mergeCell ref="C191:E191"/>
    <mergeCell ref="C192:E192"/>
    <mergeCell ref="C193:E193"/>
    <mergeCell ref="C194:E194"/>
    <mergeCell ref="C183:E183"/>
    <mergeCell ref="C184:E184"/>
    <mergeCell ref="C185:E185"/>
    <mergeCell ref="C186:E186"/>
    <mergeCell ref="C187:E187"/>
    <mergeCell ref="C188:E188"/>
    <mergeCell ref="C177:E177"/>
    <mergeCell ref="C178:E178"/>
    <mergeCell ref="C179:E179"/>
    <mergeCell ref="C180:E180"/>
    <mergeCell ref="C181:E181"/>
    <mergeCell ref="C182:E182"/>
    <mergeCell ref="C171:E171"/>
    <mergeCell ref="C172:E172"/>
    <mergeCell ref="C173:E173"/>
    <mergeCell ref="C174:E174"/>
    <mergeCell ref="C175:E175"/>
    <mergeCell ref="C176:E176"/>
    <mergeCell ref="C165:E165"/>
    <mergeCell ref="C166:E166"/>
    <mergeCell ref="C167:E167"/>
    <mergeCell ref="C168:E168"/>
    <mergeCell ref="C169:E169"/>
    <mergeCell ref="C170:E170"/>
    <mergeCell ref="C159:E159"/>
    <mergeCell ref="C160:E160"/>
    <mergeCell ref="C161:E161"/>
    <mergeCell ref="C162:E162"/>
    <mergeCell ref="C163:E163"/>
    <mergeCell ref="C164:E164"/>
    <mergeCell ref="C153:E153"/>
    <mergeCell ref="C154:E154"/>
    <mergeCell ref="C155:E155"/>
    <mergeCell ref="C156:E156"/>
    <mergeCell ref="C157:E157"/>
    <mergeCell ref="C158:E158"/>
    <mergeCell ref="C147:E147"/>
    <mergeCell ref="C148:E148"/>
    <mergeCell ref="C149:E149"/>
    <mergeCell ref="C150:E150"/>
    <mergeCell ref="C151:E151"/>
    <mergeCell ref="C152:E152"/>
    <mergeCell ref="C141:E141"/>
    <mergeCell ref="C142:E142"/>
    <mergeCell ref="C143:E143"/>
    <mergeCell ref="C144:E144"/>
    <mergeCell ref="C145:E145"/>
    <mergeCell ref="C146:E146"/>
    <mergeCell ref="C135:E135"/>
    <mergeCell ref="C136:E136"/>
    <mergeCell ref="C137:E137"/>
    <mergeCell ref="C138:E138"/>
    <mergeCell ref="C139:E139"/>
    <mergeCell ref="C140:E140"/>
    <mergeCell ref="C129:E129"/>
    <mergeCell ref="C130:E130"/>
    <mergeCell ref="C131:E131"/>
    <mergeCell ref="C132:E132"/>
    <mergeCell ref="C133:E133"/>
    <mergeCell ref="C134:E134"/>
    <mergeCell ref="C123:E123"/>
    <mergeCell ref="C124:E124"/>
    <mergeCell ref="C125:E125"/>
    <mergeCell ref="C126:E126"/>
    <mergeCell ref="C127:E127"/>
    <mergeCell ref="C128:E128"/>
    <mergeCell ref="C117:E117"/>
    <mergeCell ref="C118:E118"/>
    <mergeCell ref="C119:E119"/>
    <mergeCell ref="C120:E120"/>
    <mergeCell ref="C121:E121"/>
    <mergeCell ref="C122:E122"/>
    <mergeCell ref="C111:E111"/>
    <mergeCell ref="C112:E112"/>
    <mergeCell ref="C113:E113"/>
    <mergeCell ref="C114:E114"/>
    <mergeCell ref="C115:E115"/>
    <mergeCell ref="C116:E116"/>
    <mergeCell ref="C105:E105"/>
    <mergeCell ref="C106:E106"/>
    <mergeCell ref="C107:E107"/>
    <mergeCell ref="C108:E108"/>
    <mergeCell ref="C109:E109"/>
    <mergeCell ref="C110:E110"/>
    <mergeCell ref="C99:E99"/>
    <mergeCell ref="C100:E100"/>
    <mergeCell ref="C101:E101"/>
    <mergeCell ref="C102:E102"/>
    <mergeCell ref="C103:E103"/>
    <mergeCell ref="C104:E104"/>
    <mergeCell ref="C93:E93"/>
    <mergeCell ref="C94:E94"/>
    <mergeCell ref="C95:E95"/>
    <mergeCell ref="C96:E96"/>
    <mergeCell ref="C97:E97"/>
    <mergeCell ref="C98:E98"/>
    <mergeCell ref="C87:E87"/>
    <mergeCell ref="C88:E88"/>
    <mergeCell ref="C89:E89"/>
    <mergeCell ref="C90:E90"/>
    <mergeCell ref="C91:E91"/>
    <mergeCell ref="C92:E92"/>
    <mergeCell ref="C81:E81"/>
    <mergeCell ref="C82:E82"/>
    <mergeCell ref="C83:E83"/>
    <mergeCell ref="C84:E84"/>
    <mergeCell ref="C85:E85"/>
    <mergeCell ref="C86:E86"/>
    <mergeCell ref="C75:E75"/>
    <mergeCell ref="C76:E76"/>
    <mergeCell ref="C77:E77"/>
    <mergeCell ref="C78:E78"/>
    <mergeCell ref="C79:E79"/>
    <mergeCell ref="C80:E80"/>
    <mergeCell ref="C69:E69"/>
    <mergeCell ref="C70:E70"/>
    <mergeCell ref="C71:E71"/>
    <mergeCell ref="C72:E72"/>
    <mergeCell ref="C73:E73"/>
    <mergeCell ref="C74:E74"/>
    <mergeCell ref="C63:E63"/>
    <mergeCell ref="C64:E64"/>
    <mergeCell ref="C65:E65"/>
    <mergeCell ref="C66:E66"/>
    <mergeCell ref="C67:E67"/>
    <mergeCell ref="C68:E68"/>
    <mergeCell ref="C57:E57"/>
    <mergeCell ref="C58:E58"/>
    <mergeCell ref="C59:E59"/>
    <mergeCell ref="C60:E60"/>
    <mergeCell ref="C61:E61"/>
    <mergeCell ref="C62:E62"/>
    <mergeCell ref="C51:E51"/>
    <mergeCell ref="C52:E52"/>
    <mergeCell ref="C53:E53"/>
    <mergeCell ref="C54:E54"/>
    <mergeCell ref="C55:E55"/>
    <mergeCell ref="C56:E56"/>
    <mergeCell ref="C45:E45"/>
    <mergeCell ref="C46:E46"/>
    <mergeCell ref="C47:E47"/>
    <mergeCell ref="C48:E48"/>
    <mergeCell ref="C49:E49"/>
    <mergeCell ref="C50:E50"/>
    <mergeCell ref="C39:E39"/>
    <mergeCell ref="C40:E40"/>
    <mergeCell ref="C41:E41"/>
    <mergeCell ref="C42:E42"/>
    <mergeCell ref="C43:E43"/>
    <mergeCell ref="C44:E44"/>
    <mergeCell ref="C33:E33"/>
    <mergeCell ref="C34:E34"/>
    <mergeCell ref="C35:E35"/>
    <mergeCell ref="C36:E36"/>
    <mergeCell ref="C37:E37"/>
    <mergeCell ref="C38:E38"/>
    <mergeCell ref="C27:E27"/>
    <mergeCell ref="C28:E28"/>
    <mergeCell ref="C29:E29"/>
    <mergeCell ref="C30:E30"/>
    <mergeCell ref="C31:E31"/>
    <mergeCell ref="C32:E32"/>
    <mergeCell ref="C21:E21"/>
    <mergeCell ref="C22:E22"/>
    <mergeCell ref="C23:E23"/>
    <mergeCell ref="C24:E24"/>
    <mergeCell ref="C25:E25"/>
    <mergeCell ref="C26:E26"/>
    <mergeCell ref="C15:E15"/>
    <mergeCell ref="C16:E16"/>
    <mergeCell ref="C17:E17"/>
    <mergeCell ref="C18:E18"/>
    <mergeCell ref="C19:E19"/>
    <mergeCell ref="C20:E20"/>
    <mergeCell ref="C10:E10"/>
    <mergeCell ref="I10:K10"/>
    <mergeCell ref="C11:E11"/>
    <mergeCell ref="C12:E12"/>
    <mergeCell ref="C13:E13"/>
    <mergeCell ref="C14:E14"/>
    <mergeCell ref="A8:B9"/>
    <mergeCell ref="C8:C9"/>
    <mergeCell ref="D8:E9"/>
    <mergeCell ref="F8:G9"/>
    <mergeCell ref="H8:H9"/>
    <mergeCell ref="I8:K9"/>
    <mergeCell ref="A6:B7"/>
    <mergeCell ref="C6:C7"/>
    <mergeCell ref="D6:E7"/>
    <mergeCell ref="F6:G7"/>
    <mergeCell ref="H6:H7"/>
    <mergeCell ref="I6:K7"/>
    <mergeCell ref="A4:B5"/>
    <mergeCell ref="C4:C5"/>
    <mergeCell ref="D4:E5"/>
    <mergeCell ref="F4:G5"/>
    <mergeCell ref="H4:H5"/>
    <mergeCell ref="I4:K5"/>
    <mergeCell ref="A1:K1"/>
    <mergeCell ref="A2:B3"/>
    <mergeCell ref="C2:C3"/>
    <mergeCell ref="D2:E3"/>
    <mergeCell ref="F2:G3"/>
    <mergeCell ref="H2:H3"/>
    <mergeCell ref="I2:K3"/>
  </mergeCells>
  <printOptions horizontalCentered="1"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2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H1"/>
    </sheetView>
  </sheetViews>
  <sheetFormatPr defaultColWidth="11.57421875" defaultRowHeight="12.75"/>
  <cols>
    <col min="1" max="2" width="9.140625" style="0" customWidth="1"/>
    <col min="3" max="3" width="13.28125" style="0" customWidth="1"/>
    <col min="4" max="4" width="57.7109375" style="0" customWidth="1"/>
    <col min="5" max="5" width="14.57421875" style="0" customWidth="1"/>
    <col min="6" max="6" width="24.140625" style="0" customWidth="1"/>
    <col min="7" max="7" width="15.7109375" style="0" customWidth="1"/>
    <col min="8" max="8" width="18.140625" style="0" customWidth="1"/>
  </cols>
  <sheetData>
    <row r="1" spans="1:8" ht="72.75" customHeight="1">
      <c r="A1" s="134" t="s">
        <v>671</v>
      </c>
      <c r="B1" s="76"/>
      <c r="C1" s="76"/>
      <c r="D1" s="76"/>
      <c r="E1" s="76"/>
      <c r="F1" s="76"/>
      <c r="G1" s="76"/>
      <c r="H1" s="76"/>
    </row>
    <row r="2" spans="1:9" ht="12.75">
      <c r="A2" s="77" t="s">
        <v>0</v>
      </c>
      <c r="B2" s="78"/>
      <c r="C2" s="81" t="str">
        <f>'Stavební rozpočet'!C2</f>
        <v>Sociální zařízení  mateřské školy na Hlubčické č.p. 89</v>
      </c>
      <c r="D2" s="82"/>
      <c r="E2" s="84" t="s">
        <v>32</v>
      </c>
      <c r="F2" s="84" t="str">
        <f>'Stavební rozpočet'!I2</f>
        <v>Město Krnov</v>
      </c>
      <c r="G2" s="78"/>
      <c r="H2" s="135"/>
      <c r="I2" s="15"/>
    </row>
    <row r="3" spans="1:9" ht="12.75">
      <c r="A3" s="79"/>
      <c r="B3" s="80"/>
      <c r="C3" s="83"/>
      <c r="D3" s="83"/>
      <c r="E3" s="80"/>
      <c r="F3" s="80"/>
      <c r="G3" s="80"/>
      <c r="H3" s="86"/>
      <c r="I3" s="15"/>
    </row>
    <row r="4" spans="1:9" ht="12.75">
      <c r="A4" s="87" t="s">
        <v>1</v>
      </c>
      <c r="B4" s="80"/>
      <c r="C4" s="88" t="str">
        <f>'Stavební rozpočet'!C4</f>
        <v>stavební úpravy s modernizací</v>
      </c>
      <c r="D4" s="80"/>
      <c r="E4" s="88" t="s">
        <v>33</v>
      </c>
      <c r="F4" s="88" t="str">
        <f>'Stavební rozpočet'!I4</f>
        <v>JANKO Projekt s.r.o.  Krnov</v>
      </c>
      <c r="G4" s="80"/>
      <c r="H4" s="86"/>
      <c r="I4" s="15"/>
    </row>
    <row r="5" spans="1:9" ht="12.75">
      <c r="A5" s="79"/>
      <c r="B5" s="80"/>
      <c r="C5" s="80"/>
      <c r="D5" s="80"/>
      <c r="E5" s="80"/>
      <c r="F5" s="80"/>
      <c r="G5" s="80"/>
      <c r="H5" s="86"/>
      <c r="I5" s="15"/>
    </row>
    <row r="6" spans="1:9" ht="12.75">
      <c r="A6" s="87" t="s">
        <v>2</v>
      </c>
      <c r="B6" s="80"/>
      <c r="C6" s="88" t="str">
        <f>'Stavební rozpočet'!C6</f>
        <v>Krnov</v>
      </c>
      <c r="D6" s="80"/>
      <c r="E6" s="88" t="s">
        <v>34</v>
      </c>
      <c r="F6" s="88" t="str">
        <f>'Stavební rozpočet'!I6</f>
        <v> </v>
      </c>
      <c r="G6" s="80"/>
      <c r="H6" s="86"/>
      <c r="I6" s="15"/>
    </row>
    <row r="7" spans="1:9" ht="12.75">
      <c r="A7" s="79"/>
      <c r="B7" s="80"/>
      <c r="C7" s="80"/>
      <c r="D7" s="80"/>
      <c r="E7" s="80"/>
      <c r="F7" s="80"/>
      <c r="G7" s="80"/>
      <c r="H7" s="86"/>
      <c r="I7" s="15"/>
    </row>
    <row r="8" spans="1:9" ht="12.75">
      <c r="A8" s="87" t="s">
        <v>36</v>
      </c>
      <c r="B8" s="80"/>
      <c r="C8" s="88" t="str">
        <f>'Stavební rozpočet'!I8</f>
        <v>Boris Mičánek</v>
      </c>
      <c r="D8" s="80"/>
      <c r="E8" s="88" t="s">
        <v>86</v>
      </c>
      <c r="F8" s="88" t="str">
        <f>'Stavební rozpočet'!F8</f>
        <v>30.04.2019</v>
      </c>
      <c r="G8" s="80"/>
      <c r="H8" s="86"/>
      <c r="I8" s="15"/>
    </row>
    <row r="9" spans="1:9" ht="12.75">
      <c r="A9" s="138"/>
      <c r="B9" s="136"/>
      <c r="C9" s="136"/>
      <c r="D9" s="136"/>
      <c r="E9" s="136"/>
      <c r="F9" s="136"/>
      <c r="G9" s="136"/>
      <c r="H9" s="137"/>
      <c r="I9" s="15"/>
    </row>
    <row r="10" spans="1:9" ht="12.75">
      <c r="A10" s="66" t="s">
        <v>116</v>
      </c>
      <c r="B10" s="68" t="s">
        <v>70</v>
      </c>
      <c r="C10" s="68" t="s">
        <v>93</v>
      </c>
      <c r="D10" s="170" t="s">
        <v>406</v>
      </c>
      <c r="E10" s="171"/>
      <c r="F10" s="68" t="s">
        <v>590</v>
      </c>
      <c r="G10" s="69" t="s">
        <v>600</v>
      </c>
      <c r="H10" s="73" t="s">
        <v>828</v>
      </c>
      <c r="I10" s="16"/>
    </row>
    <row r="11" spans="1:8" ht="12.75">
      <c r="A11" s="67" t="s">
        <v>117</v>
      </c>
      <c r="B11" s="67" t="s">
        <v>71</v>
      </c>
      <c r="C11" s="67" t="s">
        <v>250</v>
      </c>
      <c r="D11" s="172" t="s">
        <v>409</v>
      </c>
      <c r="E11" s="173"/>
      <c r="F11" s="67" t="s">
        <v>591</v>
      </c>
      <c r="G11" s="70">
        <v>0.07</v>
      </c>
      <c r="H11" s="70">
        <v>0</v>
      </c>
    </row>
    <row r="12" spans="4:7" ht="12" customHeight="1">
      <c r="D12" s="174" t="s">
        <v>672</v>
      </c>
      <c r="E12" s="175"/>
      <c r="F12" s="175"/>
      <c r="G12" s="71">
        <v>0.03</v>
      </c>
    </row>
    <row r="13" spans="1:8" ht="12" customHeight="1">
      <c r="A13" s="44"/>
      <c r="B13" s="44"/>
      <c r="C13" s="44"/>
      <c r="D13" s="174" t="s">
        <v>673</v>
      </c>
      <c r="E13" s="175"/>
      <c r="F13" s="174"/>
      <c r="G13" s="71">
        <v>0.04</v>
      </c>
      <c r="H13" s="60"/>
    </row>
    <row r="14" spans="1:8" ht="12" customHeight="1">
      <c r="A14" s="44" t="s">
        <v>118</v>
      </c>
      <c r="B14" s="44" t="s">
        <v>71</v>
      </c>
      <c r="C14" s="44" t="s">
        <v>251</v>
      </c>
      <c r="D14" s="174" t="s">
        <v>674</v>
      </c>
      <c r="E14" s="175"/>
      <c r="F14" s="174"/>
      <c r="G14" s="71">
        <v>0.18</v>
      </c>
      <c r="H14" s="54">
        <v>0</v>
      </c>
    </row>
    <row r="15" spans="1:8" ht="12.75">
      <c r="A15" s="44" t="s">
        <v>94</v>
      </c>
      <c r="B15" s="44" t="s">
        <v>71</v>
      </c>
      <c r="C15" s="44" t="s">
        <v>252</v>
      </c>
      <c r="D15" s="160" t="s">
        <v>412</v>
      </c>
      <c r="E15" s="161"/>
      <c r="F15" s="44" t="s">
        <v>593</v>
      </c>
      <c r="G15" s="54">
        <v>17.39</v>
      </c>
      <c r="H15" s="54">
        <v>0</v>
      </c>
    </row>
    <row r="16" spans="4:7" ht="12" customHeight="1">
      <c r="D16" s="174" t="s">
        <v>675</v>
      </c>
      <c r="E16" s="175"/>
      <c r="F16" s="175"/>
      <c r="G16" s="71">
        <v>6.4</v>
      </c>
    </row>
    <row r="17" spans="1:8" ht="12" customHeight="1">
      <c r="A17" s="44"/>
      <c r="B17" s="44"/>
      <c r="C17" s="44"/>
      <c r="D17" s="174" t="s">
        <v>676</v>
      </c>
      <c r="E17" s="175"/>
      <c r="F17" s="174"/>
      <c r="G17" s="71">
        <v>7.29</v>
      </c>
      <c r="H17" s="60"/>
    </row>
    <row r="18" spans="1:8" ht="12" customHeight="1">
      <c r="A18" s="44"/>
      <c r="B18" s="44"/>
      <c r="C18" s="44"/>
      <c r="D18" s="174" t="s">
        <v>677</v>
      </c>
      <c r="E18" s="175"/>
      <c r="F18" s="174"/>
      <c r="G18" s="71">
        <v>3.7</v>
      </c>
      <c r="H18" s="60"/>
    </row>
    <row r="19" spans="1:8" ht="12.75">
      <c r="A19" s="44" t="s">
        <v>119</v>
      </c>
      <c r="B19" s="44" t="s">
        <v>71</v>
      </c>
      <c r="C19" s="44" t="s">
        <v>253</v>
      </c>
      <c r="D19" s="160" t="s">
        <v>413</v>
      </c>
      <c r="E19" s="161"/>
      <c r="F19" s="44" t="s">
        <v>594</v>
      </c>
      <c r="G19" s="54">
        <v>6</v>
      </c>
      <c r="H19" s="54">
        <v>0</v>
      </c>
    </row>
    <row r="20" spans="4:7" ht="12" customHeight="1">
      <c r="D20" s="174" t="s">
        <v>678</v>
      </c>
      <c r="E20" s="175"/>
      <c r="F20" s="175"/>
      <c r="G20" s="71">
        <v>2</v>
      </c>
    </row>
    <row r="21" spans="1:8" ht="12" customHeight="1">
      <c r="A21" s="44"/>
      <c r="B21" s="44"/>
      <c r="C21" s="44"/>
      <c r="D21" s="174" t="s">
        <v>679</v>
      </c>
      <c r="E21" s="175"/>
      <c r="F21" s="174"/>
      <c r="G21" s="71">
        <v>2</v>
      </c>
      <c r="H21" s="60"/>
    </row>
    <row r="22" spans="1:8" ht="12" customHeight="1">
      <c r="A22" s="44"/>
      <c r="B22" s="44"/>
      <c r="C22" s="44"/>
      <c r="D22" s="174" t="s">
        <v>680</v>
      </c>
      <c r="E22" s="175"/>
      <c r="F22" s="174"/>
      <c r="G22" s="71">
        <v>2</v>
      </c>
      <c r="H22" s="60"/>
    </row>
    <row r="23" spans="1:8" ht="12" customHeight="1">
      <c r="A23" s="45" t="s">
        <v>120</v>
      </c>
      <c r="B23" s="45" t="s">
        <v>71</v>
      </c>
      <c r="C23" s="45" t="s">
        <v>254</v>
      </c>
      <c r="D23" s="176" t="s">
        <v>681</v>
      </c>
      <c r="E23" s="177"/>
      <c r="F23" s="176"/>
      <c r="G23" s="72">
        <v>6</v>
      </c>
      <c r="H23" s="55">
        <v>0</v>
      </c>
    </row>
    <row r="24" spans="1:8" ht="12.75">
      <c r="A24" s="44" t="s">
        <v>95</v>
      </c>
      <c r="B24" s="44" t="s">
        <v>71</v>
      </c>
      <c r="C24" s="44" t="s">
        <v>255</v>
      </c>
      <c r="D24" s="160" t="s">
        <v>415</v>
      </c>
      <c r="E24" s="161"/>
      <c r="F24" s="44" t="s">
        <v>595</v>
      </c>
      <c r="G24" s="54">
        <v>5.52</v>
      </c>
      <c r="H24" s="54">
        <v>0</v>
      </c>
    </row>
    <row r="25" spans="4:7" ht="12" customHeight="1">
      <c r="D25" s="174" t="s">
        <v>682</v>
      </c>
      <c r="E25" s="175"/>
      <c r="F25" s="175"/>
      <c r="G25" s="71">
        <v>1.84</v>
      </c>
    </row>
    <row r="26" spans="1:8" ht="12" customHeight="1">
      <c r="A26" s="44"/>
      <c r="B26" s="44"/>
      <c r="C26" s="44"/>
      <c r="D26" s="174" t="s">
        <v>683</v>
      </c>
      <c r="E26" s="175"/>
      <c r="F26" s="174"/>
      <c r="G26" s="71">
        <v>1.84</v>
      </c>
      <c r="H26" s="60"/>
    </row>
    <row r="27" spans="1:8" ht="12" customHeight="1">
      <c r="A27" s="44"/>
      <c r="B27" s="44"/>
      <c r="C27" s="44"/>
      <c r="D27" s="174" t="s">
        <v>684</v>
      </c>
      <c r="E27" s="175"/>
      <c r="F27" s="174"/>
      <c r="G27" s="71">
        <v>1.84</v>
      </c>
      <c r="H27" s="60"/>
    </row>
    <row r="28" spans="1:8" ht="12.75">
      <c r="A28" s="44" t="s">
        <v>121</v>
      </c>
      <c r="B28" s="44" t="s">
        <v>71</v>
      </c>
      <c r="C28" s="44" t="s">
        <v>256</v>
      </c>
      <c r="D28" s="160" t="s">
        <v>416</v>
      </c>
      <c r="E28" s="161"/>
      <c r="F28" s="44" t="s">
        <v>595</v>
      </c>
      <c r="G28" s="54">
        <v>16.89</v>
      </c>
      <c r="H28" s="54">
        <v>0</v>
      </c>
    </row>
    <row r="29" spans="4:7" ht="12" customHeight="1">
      <c r="D29" s="174" t="s">
        <v>685</v>
      </c>
      <c r="E29" s="175"/>
      <c r="F29" s="175"/>
      <c r="G29" s="71">
        <v>2.3</v>
      </c>
    </row>
    <row r="30" spans="1:8" ht="12" customHeight="1">
      <c r="A30" s="44"/>
      <c r="B30" s="44"/>
      <c r="C30" s="44"/>
      <c r="D30" s="174" t="s">
        <v>686</v>
      </c>
      <c r="E30" s="175"/>
      <c r="F30" s="174"/>
      <c r="G30" s="71">
        <v>6</v>
      </c>
      <c r="H30" s="60"/>
    </row>
    <row r="31" spans="1:8" ht="12" customHeight="1">
      <c r="A31" s="44"/>
      <c r="B31" s="44"/>
      <c r="C31" s="44"/>
      <c r="D31" s="174" t="s">
        <v>687</v>
      </c>
      <c r="E31" s="175"/>
      <c r="F31" s="174"/>
      <c r="G31" s="71">
        <v>6</v>
      </c>
      <c r="H31" s="60"/>
    </row>
    <row r="32" spans="1:8" ht="12" customHeight="1">
      <c r="A32" s="44"/>
      <c r="B32" s="44"/>
      <c r="C32" s="44"/>
      <c r="D32" s="174" t="s">
        <v>688</v>
      </c>
      <c r="E32" s="175"/>
      <c r="F32" s="174"/>
      <c r="G32" s="71">
        <v>2.59</v>
      </c>
      <c r="H32" s="60"/>
    </row>
    <row r="33" spans="1:8" ht="12" customHeight="1">
      <c r="A33" s="44" t="s">
        <v>102</v>
      </c>
      <c r="B33" s="44" t="s">
        <v>71</v>
      </c>
      <c r="C33" s="44" t="s">
        <v>257</v>
      </c>
      <c r="D33" s="174" t="s">
        <v>689</v>
      </c>
      <c r="E33" s="175"/>
      <c r="F33" s="174"/>
      <c r="G33" s="71">
        <v>3.6</v>
      </c>
      <c r="H33" s="54">
        <v>0</v>
      </c>
    </row>
    <row r="34" spans="1:8" ht="12" customHeight="1">
      <c r="A34" s="44" t="s">
        <v>100</v>
      </c>
      <c r="B34" s="44" t="s">
        <v>71</v>
      </c>
      <c r="C34" s="44" t="s">
        <v>258</v>
      </c>
      <c r="D34" s="174" t="s">
        <v>690</v>
      </c>
      <c r="E34" s="175"/>
      <c r="F34" s="174"/>
      <c r="G34" s="71">
        <v>10.35</v>
      </c>
      <c r="H34" s="54">
        <v>0</v>
      </c>
    </row>
    <row r="35" spans="1:8" ht="12" customHeight="1">
      <c r="A35" s="44" t="s">
        <v>122</v>
      </c>
      <c r="B35" s="44" t="s">
        <v>71</v>
      </c>
      <c r="C35" s="44" t="s">
        <v>259</v>
      </c>
      <c r="D35" s="174" t="s">
        <v>691</v>
      </c>
      <c r="E35" s="175"/>
      <c r="F35" s="174"/>
      <c r="G35" s="71">
        <v>3.6</v>
      </c>
      <c r="H35" s="54">
        <v>0</v>
      </c>
    </row>
    <row r="36" spans="1:8" ht="12" customHeight="1">
      <c r="A36" s="44" t="s">
        <v>123</v>
      </c>
      <c r="B36" s="44" t="s">
        <v>71</v>
      </c>
      <c r="C36" s="44" t="s">
        <v>251</v>
      </c>
      <c r="D36" s="174" t="s">
        <v>692</v>
      </c>
      <c r="E36" s="175"/>
      <c r="F36" s="174"/>
      <c r="G36" s="71">
        <v>4.35</v>
      </c>
      <c r="H36" s="54">
        <v>0</v>
      </c>
    </row>
    <row r="37" spans="1:8" ht="12.75">
      <c r="A37" s="44" t="s">
        <v>124</v>
      </c>
      <c r="B37" s="44" t="s">
        <v>71</v>
      </c>
      <c r="C37" s="44" t="s">
        <v>260</v>
      </c>
      <c r="D37" s="160" t="s">
        <v>422</v>
      </c>
      <c r="E37" s="161"/>
      <c r="F37" s="44" t="s">
        <v>595</v>
      </c>
      <c r="G37" s="54">
        <v>32</v>
      </c>
      <c r="H37" s="54">
        <v>0</v>
      </c>
    </row>
    <row r="38" spans="4:7" ht="12" customHeight="1">
      <c r="D38" s="174" t="s">
        <v>693</v>
      </c>
      <c r="E38" s="175"/>
      <c r="F38" s="175"/>
      <c r="G38" s="71">
        <v>8</v>
      </c>
    </row>
    <row r="39" spans="1:8" ht="12" customHeight="1">
      <c r="A39" s="44"/>
      <c r="B39" s="44"/>
      <c r="C39" s="44"/>
      <c r="D39" s="174" t="s">
        <v>694</v>
      </c>
      <c r="E39" s="175"/>
      <c r="F39" s="174"/>
      <c r="G39" s="71">
        <v>24</v>
      </c>
      <c r="H39" s="60"/>
    </row>
    <row r="40" spans="1:8" ht="12.75">
      <c r="A40" s="44" t="s">
        <v>125</v>
      </c>
      <c r="B40" s="44" t="s">
        <v>71</v>
      </c>
      <c r="C40" s="44" t="s">
        <v>261</v>
      </c>
      <c r="D40" s="160" t="s">
        <v>423</v>
      </c>
      <c r="E40" s="161"/>
      <c r="F40" s="44" t="s">
        <v>595</v>
      </c>
      <c r="G40" s="54">
        <v>54.22</v>
      </c>
      <c r="H40" s="54">
        <v>0</v>
      </c>
    </row>
    <row r="41" spans="4:7" ht="12" customHeight="1">
      <c r="D41" s="174" t="s">
        <v>695</v>
      </c>
      <c r="E41" s="175"/>
      <c r="F41" s="175"/>
      <c r="G41" s="71">
        <v>17.84</v>
      </c>
    </row>
    <row r="42" spans="1:8" ht="12" customHeight="1">
      <c r="A42" s="44"/>
      <c r="B42" s="44"/>
      <c r="C42" s="44"/>
      <c r="D42" s="174" t="s">
        <v>696</v>
      </c>
      <c r="E42" s="175"/>
      <c r="F42" s="174"/>
      <c r="G42" s="71">
        <v>52.38</v>
      </c>
      <c r="H42" s="60"/>
    </row>
    <row r="43" spans="1:8" ht="12" customHeight="1">
      <c r="A43" s="44"/>
      <c r="B43" s="44"/>
      <c r="C43" s="44"/>
      <c r="D43" s="174" t="s">
        <v>697</v>
      </c>
      <c r="E43" s="175"/>
      <c r="F43" s="174"/>
      <c r="G43" s="71">
        <v>-16</v>
      </c>
      <c r="H43" s="60"/>
    </row>
    <row r="44" spans="1:8" ht="12" customHeight="1">
      <c r="A44" s="44" t="s">
        <v>126</v>
      </c>
      <c r="B44" s="44" t="s">
        <v>71</v>
      </c>
      <c r="C44" s="44" t="s">
        <v>251</v>
      </c>
      <c r="D44" s="174" t="s">
        <v>698</v>
      </c>
      <c r="E44" s="175"/>
      <c r="F44" s="174"/>
      <c r="G44" s="71">
        <v>0.89</v>
      </c>
      <c r="H44" s="54">
        <v>0</v>
      </c>
    </row>
    <row r="45" spans="1:8" ht="12" customHeight="1">
      <c r="A45" s="44" t="s">
        <v>127</v>
      </c>
      <c r="B45" s="44" t="s">
        <v>71</v>
      </c>
      <c r="C45" s="44" t="s">
        <v>262</v>
      </c>
      <c r="D45" s="174" t="s">
        <v>699</v>
      </c>
      <c r="E45" s="175"/>
      <c r="F45" s="174"/>
      <c r="G45" s="71">
        <v>5.26</v>
      </c>
      <c r="H45" s="54">
        <v>0</v>
      </c>
    </row>
    <row r="46" spans="1:8" ht="12" customHeight="1">
      <c r="A46" s="44" t="s">
        <v>128</v>
      </c>
      <c r="B46" s="44" t="s">
        <v>71</v>
      </c>
      <c r="C46" s="44" t="s">
        <v>263</v>
      </c>
      <c r="D46" s="174" t="s">
        <v>700</v>
      </c>
      <c r="E46" s="175"/>
      <c r="F46" s="174"/>
      <c r="G46" s="71">
        <v>52.55</v>
      </c>
      <c r="H46" s="54">
        <v>0</v>
      </c>
    </row>
    <row r="47" spans="1:8" ht="12" customHeight="1">
      <c r="A47" s="44" t="s">
        <v>129</v>
      </c>
      <c r="B47" s="44" t="s">
        <v>71</v>
      </c>
      <c r="C47" s="44" t="s">
        <v>264</v>
      </c>
      <c r="D47" s="174" t="s">
        <v>700</v>
      </c>
      <c r="E47" s="175"/>
      <c r="F47" s="174"/>
      <c r="G47" s="71">
        <v>52.55</v>
      </c>
      <c r="H47" s="54">
        <v>0</v>
      </c>
    </row>
    <row r="48" spans="1:8" ht="12" customHeight="1">
      <c r="A48" s="44" t="s">
        <v>130</v>
      </c>
      <c r="B48" s="44" t="s">
        <v>71</v>
      </c>
      <c r="C48" s="44" t="s">
        <v>251</v>
      </c>
      <c r="D48" s="174" t="s">
        <v>701</v>
      </c>
      <c r="E48" s="175"/>
      <c r="F48" s="174"/>
      <c r="G48" s="71">
        <v>19.17</v>
      </c>
      <c r="H48" s="54">
        <v>0</v>
      </c>
    </row>
    <row r="49" spans="1:8" ht="12" customHeight="1">
      <c r="A49" s="44" t="s">
        <v>131</v>
      </c>
      <c r="B49" s="44" t="s">
        <v>71</v>
      </c>
      <c r="C49" s="44" t="s">
        <v>265</v>
      </c>
      <c r="D49" s="174" t="s">
        <v>702</v>
      </c>
      <c r="E49" s="175"/>
      <c r="F49" s="174"/>
      <c r="G49" s="71">
        <v>1</v>
      </c>
      <c r="H49" s="54">
        <v>0</v>
      </c>
    </row>
    <row r="50" spans="1:8" ht="12" customHeight="1">
      <c r="A50" s="44" t="s">
        <v>132</v>
      </c>
      <c r="B50" s="44" t="s">
        <v>71</v>
      </c>
      <c r="C50" s="44" t="s">
        <v>251</v>
      </c>
      <c r="D50" s="174" t="s">
        <v>703</v>
      </c>
      <c r="E50" s="175"/>
      <c r="F50" s="174"/>
      <c r="G50" s="71">
        <v>0.03</v>
      </c>
      <c r="H50" s="54">
        <v>0</v>
      </c>
    </row>
    <row r="51" spans="1:8" ht="12.75">
      <c r="A51" s="44" t="s">
        <v>133</v>
      </c>
      <c r="B51" s="44" t="s">
        <v>71</v>
      </c>
      <c r="C51" s="44" t="s">
        <v>267</v>
      </c>
      <c r="D51" s="160" t="s">
        <v>435</v>
      </c>
      <c r="E51" s="161"/>
      <c r="F51" s="44" t="s">
        <v>595</v>
      </c>
      <c r="G51" s="54">
        <v>86.44</v>
      </c>
      <c r="H51" s="54">
        <v>0</v>
      </c>
    </row>
    <row r="52" spans="4:7" ht="12" customHeight="1">
      <c r="D52" s="174" t="s">
        <v>704</v>
      </c>
      <c r="E52" s="175"/>
      <c r="F52" s="175"/>
      <c r="G52" s="71">
        <v>26.55</v>
      </c>
    </row>
    <row r="53" spans="1:8" ht="12" customHeight="1">
      <c r="A53" s="44"/>
      <c r="B53" s="44"/>
      <c r="C53" s="44"/>
      <c r="D53" s="174" t="s">
        <v>705</v>
      </c>
      <c r="E53" s="175"/>
      <c r="F53" s="174"/>
      <c r="G53" s="71">
        <v>3</v>
      </c>
      <c r="H53" s="60"/>
    </row>
    <row r="54" spans="1:8" ht="12" customHeight="1">
      <c r="A54" s="44"/>
      <c r="B54" s="44"/>
      <c r="C54" s="44"/>
      <c r="D54" s="174" t="s">
        <v>706</v>
      </c>
      <c r="E54" s="175"/>
      <c r="F54" s="174"/>
      <c r="G54" s="71">
        <v>11.66</v>
      </c>
      <c r="H54" s="60"/>
    </row>
    <row r="55" spans="1:8" ht="12" customHeight="1">
      <c r="A55" s="44"/>
      <c r="B55" s="44"/>
      <c r="C55" s="44"/>
      <c r="D55" s="174" t="s">
        <v>707</v>
      </c>
      <c r="E55" s="175"/>
      <c r="F55" s="174"/>
      <c r="G55" s="71">
        <v>26.55</v>
      </c>
      <c r="H55" s="60"/>
    </row>
    <row r="56" spans="1:8" ht="12" customHeight="1">
      <c r="A56" s="44"/>
      <c r="B56" s="44"/>
      <c r="C56" s="44"/>
      <c r="D56" s="174" t="s">
        <v>708</v>
      </c>
      <c r="E56" s="175"/>
      <c r="F56" s="174"/>
      <c r="G56" s="71">
        <v>18.68</v>
      </c>
      <c r="H56" s="60"/>
    </row>
    <row r="57" spans="1:8" ht="12.75">
      <c r="A57" s="44" t="s">
        <v>134</v>
      </c>
      <c r="B57" s="44" t="s">
        <v>71</v>
      </c>
      <c r="C57" s="44" t="s">
        <v>268</v>
      </c>
      <c r="D57" s="160" t="s">
        <v>436</v>
      </c>
      <c r="E57" s="161"/>
      <c r="F57" s="44" t="s">
        <v>595</v>
      </c>
      <c r="G57" s="54">
        <v>86.44</v>
      </c>
      <c r="H57" s="54">
        <v>0</v>
      </c>
    </row>
    <row r="58" spans="4:7" ht="12" customHeight="1">
      <c r="D58" s="174" t="s">
        <v>704</v>
      </c>
      <c r="E58" s="175"/>
      <c r="F58" s="175"/>
      <c r="G58" s="71">
        <v>26.55</v>
      </c>
    </row>
    <row r="59" spans="1:8" ht="12" customHeight="1">
      <c r="A59" s="44"/>
      <c r="B59" s="44"/>
      <c r="C59" s="44"/>
      <c r="D59" s="174" t="s">
        <v>705</v>
      </c>
      <c r="E59" s="175"/>
      <c r="F59" s="174"/>
      <c r="G59" s="71">
        <v>3</v>
      </c>
      <c r="H59" s="60"/>
    </row>
    <row r="60" spans="1:8" ht="12" customHeight="1">
      <c r="A60" s="44"/>
      <c r="B60" s="44"/>
      <c r="C60" s="44"/>
      <c r="D60" s="174" t="s">
        <v>706</v>
      </c>
      <c r="E60" s="175"/>
      <c r="F60" s="174"/>
      <c r="G60" s="71">
        <v>11.66</v>
      </c>
      <c r="H60" s="60"/>
    </row>
    <row r="61" spans="1:8" ht="12" customHeight="1">
      <c r="A61" s="44"/>
      <c r="B61" s="44"/>
      <c r="C61" s="44"/>
      <c r="D61" s="174" t="s">
        <v>707</v>
      </c>
      <c r="E61" s="175"/>
      <c r="F61" s="174"/>
      <c r="G61" s="71">
        <v>26.55</v>
      </c>
      <c r="H61" s="60"/>
    </row>
    <row r="62" spans="1:8" ht="12" customHeight="1">
      <c r="A62" s="44"/>
      <c r="B62" s="44"/>
      <c r="C62" s="44"/>
      <c r="D62" s="174" t="s">
        <v>708</v>
      </c>
      <c r="E62" s="175"/>
      <c r="F62" s="174"/>
      <c r="G62" s="71">
        <v>18.68</v>
      </c>
      <c r="H62" s="60"/>
    </row>
    <row r="63" spans="1:8" ht="12" customHeight="1">
      <c r="A63" s="44" t="s">
        <v>135</v>
      </c>
      <c r="B63" s="44" t="s">
        <v>71</v>
      </c>
      <c r="C63" s="44" t="s">
        <v>269</v>
      </c>
      <c r="D63" s="174" t="s">
        <v>709</v>
      </c>
      <c r="E63" s="175"/>
      <c r="F63" s="174"/>
      <c r="G63" s="71">
        <v>0.13</v>
      </c>
      <c r="H63" s="54">
        <v>0</v>
      </c>
    </row>
    <row r="64" spans="1:8" ht="12.75">
      <c r="A64" s="44" t="s">
        <v>136</v>
      </c>
      <c r="B64" s="44" t="s">
        <v>73</v>
      </c>
      <c r="C64" s="44" t="s">
        <v>362</v>
      </c>
      <c r="D64" s="160" t="s">
        <v>544</v>
      </c>
      <c r="E64" s="161"/>
      <c r="F64" s="44" t="s">
        <v>594</v>
      </c>
      <c r="G64" s="54">
        <v>16</v>
      </c>
      <c r="H64" s="54">
        <v>0</v>
      </c>
    </row>
    <row r="65" spans="4:7" ht="12" customHeight="1">
      <c r="D65" s="174" t="s">
        <v>710</v>
      </c>
      <c r="E65" s="175"/>
      <c r="F65" s="175"/>
      <c r="G65" s="71">
        <v>5</v>
      </c>
    </row>
    <row r="66" spans="1:8" ht="12" customHeight="1">
      <c r="A66" s="44"/>
      <c r="B66" s="44"/>
      <c r="C66" s="44"/>
      <c r="D66" s="174" t="s">
        <v>711</v>
      </c>
      <c r="E66" s="175"/>
      <c r="F66" s="174"/>
      <c r="G66" s="71">
        <v>6</v>
      </c>
      <c r="H66" s="60"/>
    </row>
    <row r="67" spans="1:8" ht="12" customHeight="1">
      <c r="A67" s="44"/>
      <c r="B67" s="44"/>
      <c r="C67" s="44"/>
      <c r="D67" s="174" t="s">
        <v>710</v>
      </c>
      <c r="E67" s="175"/>
      <c r="F67" s="174"/>
      <c r="G67" s="71">
        <v>5</v>
      </c>
      <c r="H67" s="60"/>
    </row>
    <row r="68" spans="1:8" ht="12.75">
      <c r="A68" s="44" t="s">
        <v>137</v>
      </c>
      <c r="B68" s="44" t="s">
        <v>73</v>
      </c>
      <c r="C68" s="44" t="s">
        <v>363</v>
      </c>
      <c r="D68" s="160" t="s">
        <v>545</v>
      </c>
      <c r="E68" s="161"/>
      <c r="F68" s="44" t="s">
        <v>593</v>
      </c>
      <c r="G68" s="54">
        <v>5</v>
      </c>
      <c r="H68" s="54">
        <v>0</v>
      </c>
    </row>
    <row r="69" spans="4:7" ht="12" customHeight="1">
      <c r="D69" s="174" t="s">
        <v>712</v>
      </c>
      <c r="E69" s="175"/>
      <c r="F69" s="175"/>
      <c r="G69" s="71">
        <v>1</v>
      </c>
    </row>
    <row r="70" spans="1:8" ht="12" customHeight="1">
      <c r="A70" s="44"/>
      <c r="B70" s="44"/>
      <c r="C70" s="44"/>
      <c r="D70" s="174" t="s">
        <v>713</v>
      </c>
      <c r="E70" s="175"/>
      <c r="F70" s="174"/>
      <c r="G70" s="71">
        <v>3</v>
      </c>
      <c r="H70" s="60"/>
    </row>
    <row r="71" spans="1:8" ht="12" customHeight="1">
      <c r="A71" s="44"/>
      <c r="B71" s="44"/>
      <c r="C71" s="44"/>
      <c r="D71" s="174" t="s">
        <v>712</v>
      </c>
      <c r="E71" s="175"/>
      <c r="F71" s="174"/>
      <c r="G71" s="71">
        <v>1</v>
      </c>
      <c r="H71" s="60"/>
    </row>
    <row r="72" spans="1:8" ht="12.75">
      <c r="A72" s="44" t="s">
        <v>138</v>
      </c>
      <c r="B72" s="44" t="s">
        <v>73</v>
      </c>
      <c r="C72" s="44" t="s">
        <v>364</v>
      </c>
      <c r="D72" s="160" t="s">
        <v>546</v>
      </c>
      <c r="E72" s="161"/>
      <c r="F72" s="44" t="s">
        <v>593</v>
      </c>
      <c r="G72" s="54">
        <v>3.2</v>
      </c>
      <c r="H72" s="54">
        <v>0</v>
      </c>
    </row>
    <row r="73" spans="4:7" ht="12" customHeight="1">
      <c r="D73" s="174" t="s">
        <v>714</v>
      </c>
      <c r="E73" s="175"/>
      <c r="F73" s="175"/>
      <c r="G73" s="71">
        <v>1</v>
      </c>
    </row>
    <row r="74" spans="1:8" ht="12" customHeight="1">
      <c r="A74" s="44"/>
      <c r="B74" s="44"/>
      <c r="C74" s="44"/>
      <c r="D74" s="174" t="s">
        <v>715</v>
      </c>
      <c r="E74" s="175"/>
      <c r="F74" s="174"/>
      <c r="G74" s="71">
        <v>1.2</v>
      </c>
      <c r="H74" s="60"/>
    </row>
    <row r="75" spans="1:8" ht="12" customHeight="1">
      <c r="A75" s="44"/>
      <c r="B75" s="44"/>
      <c r="C75" s="44"/>
      <c r="D75" s="174" t="s">
        <v>714</v>
      </c>
      <c r="E75" s="175"/>
      <c r="F75" s="174"/>
      <c r="G75" s="71">
        <v>1</v>
      </c>
      <c r="H75" s="60"/>
    </row>
    <row r="76" spans="1:8" ht="12" customHeight="1">
      <c r="A76" s="44" t="s">
        <v>139</v>
      </c>
      <c r="B76" s="44" t="s">
        <v>73</v>
      </c>
      <c r="C76" s="44" t="s">
        <v>365</v>
      </c>
      <c r="D76" s="174" t="s">
        <v>716</v>
      </c>
      <c r="E76" s="175"/>
      <c r="F76" s="174"/>
      <c r="G76" s="71">
        <v>8.2</v>
      </c>
      <c r="H76" s="54">
        <v>0</v>
      </c>
    </row>
    <row r="77" spans="1:8" ht="12.75">
      <c r="A77" s="44" t="s">
        <v>140</v>
      </c>
      <c r="B77" s="44" t="s">
        <v>73</v>
      </c>
      <c r="C77" s="44" t="s">
        <v>366</v>
      </c>
      <c r="D77" s="160" t="s">
        <v>548</v>
      </c>
      <c r="E77" s="161"/>
      <c r="F77" s="44" t="s">
        <v>593</v>
      </c>
      <c r="G77" s="54">
        <v>12</v>
      </c>
      <c r="H77" s="54">
        <v>0</v>
      </c>
    </row>
    <row r="78" spans="4:7" ht="12" customHeight="1">
      <c r="D78" s="174" t="s">
        <v>717</v>
      </c>
      <c r="E78" s="175"/>
      <c r="F78" s="175"/>
      <c r="G78" s="71">
        <v>4</v>
      </c>
    </row>
    <row r="79" spans="1:8" ht="12" customHeight="1">
      <c r="A79" s="44"/>
      <c r="B79" s="44"/>
      <c r="C79" s="44"/>
      <c r="D79" s="174" t="s">
        <v>717</v>
      </c>
      <c r="E79" s="175"/>
      <c r="F79" s="174"/>
      <c r="G79" s="71">
        <v>4</v>
      </c>
      <c r="H79" s="60"/>
    </row>
    <row r="80" spans="1:8" ht="12" customHeight="1">
      <c r="A80" s="44"/>
      <c r="B80" s="44"/>
      <c r="C80" s="44"/>
      <c r="D80" s="174" t="s">
        <v>717</v>
      </c>
      <c r="E80" s="175"/>
      <c r="F80" s="174"/>
      <c r="G80" s="71">
        <v>4</v>
      </c>
      <c r="H80" s="60"/>
    </row>
    <row r="81" spans="1:8" ht="12.75">
      <c r="A81" s="44" t="s">
        <v>141</v>
      </c>
      <c r="B81" s="44" t="s">
        <v>73</v>
      </c>
      <c r="C81" s="44" t="s">
        <v>367</v>
      </c>
      <c r="D81" s="160" t="s">
        <v>549</v>
      </c>
      <c r="E81" s="161"/>
      <c r="F81" s="44" t="s">
        <v>593</v>
      </c>
      <c r="G81" s="54">
        <v>6</v>
      </c>
      <c r="H81" s="54">
        <v>0</v>
      </c>
    </row>
    <row r="82" spans="4:7" ht="12" customHeight="1">
      <c r="D82" s="174" t="s">
        <v>718</v>
      </c>
      <c r="E82" s="175"/>
      <c r="F82" s="175"/>
      <c r="G82" s="71">
        <v>2</v>
      </c>
    </row>
    <row r="83" spans="1:8" ht="12" customHeight="1">
      <c r="A83" s="44"/>
      <c r="B83" s="44"/>
      <c r="C83" s="44"/>
      <c r="D83" s="174" t="s">
        <v>718</v>
      </c>
      <c r="E83" s="175"/>
      <c r="F83" s="174"/>
      <c r="G83" s="71">
        <v>2</v>
      </c>
      <c r="H83" s="60"/>
    </row>
    <row r="84" spans="1:8" ht="12" customHeight="1">
      <c r="A84" s="44"/>
      <c r="B84" s="44"/>
      <c r="C84" s="44"/>
      <c r="D84" s="174" t="s">
        <v>718</v>
      </c>
      <c r="E84" s="175"/>
      <c r="F84" s="174"/>
      <c r="G84" s="71">
        <v>2</v>
      </c>
      <c r="H84" s="60"/>
    </row>
    <row r="85" spans="1:8" ht="12" customHeight="1">
      <c r="A85" s="44" t="s">
        <v>142</v>
      </c>
      <c r="B85" s="44" t="s">
        <v>73</v>
      </c>
      <c r="C85" s="44" t="s">
        <v>368</v>
      </c>
      <c r="D85" s="174" t="s">
        <v>719</v>
      </c>
      <c r="E85" s="175"/>
      <c r="F85" s="174"/>
      <c r="G85" s="71">
        <v>18</v>
      </c>
      <c r="H85" s="54">
        <v>0</v>
      </c>
    </row>
    <row r="86" spans="1:8" ht="12.75">
      <c r="A86" s="44" t="s">
        <v>143</v>
      </c>
      <c r="B86" s="44" t="s">
        <v>73</v>
      </c>
      <c r="C86" s="44" t="s">
        <v>369</v>
      </c>
      <c r="D86" s="160" t="s">
        <v>551</v>
      </c>
      <c r="E86" s="161"/>
      <c r="F86" s="44" t="s">
        <v>593</v>
      </c>
      <c r="G86" s="54">
        <v>6.3</v>
      </c>
      <c r="H86" s="54">
        <v>0</v>
      </c>
    </row>
    <row r="87" spans="4:7" ht="12" customHeight="1">
      <c r="D87" s="174" t="s">
        <v>720</v>
      </c>
      <c r="E87" s="175"/>
      <c r="F87" s="175"/>
      <c r="G87" s="71">
        <v>2.1</v>
      </c>
    </row>
    <row r="88" spans="1:8" ht="12" customHeight="1">
      <c r="A88" s="44"/>
      <c r="B88" s="44"/>
      <c r="C88" s="44"/>
      <c r="D88" s="174" t="s">
        <v>720</v>
      </c>
      <c r="E88" s="175"/>
      <c r="F88" s="174"/>
      <c r="G88" s="71">
        <v>2.1</v>
      </c>
      <c r="H88" s="60"/>
    </row>
    <row r="89" spans="1:8" ht="12" customHeight="1">
      <c r="A89" s="44"/>
      <c r="B89" s="44"/>
      <c r="C89" s="44"/>
      <c r="D89" s="174" t="s">
        <v>720</v>
      </c>
      <c r="E89" s="175"/>
      <c r="F89" s="174"/>
      <c r="G89" s="71">
        <v>2.1</v>
      </c>
      <c r="H89" s="60"/>
    </row>
    <row r="90" spans="1:8" ht="12" customHeight="1">
      <c r="A90" s="44" t="s">
        <v>144</v>
      </c>
      <c r="B90" s="44" t="s">
        <v>73</v>
      </c>
      <c r="C90" s="44" t="s">
        <v>370</v>
      </c>
      <c r="D90" s="174" t="s">
        <v>721</v>
      </c>
      <c r="E90" s="175"/>
      <c r="F90" s="174"/>
      <c r="G90" s="71">
        <v>6.3</v>
      </c>
      <c r="H90" s="54">
        <v>0</v>
      </c>
    </row>
    <row r="91" spans="1:8" ht="12" customHeight="1">
      <c r="A91" s="44" t="s">
        <v>145</v>
      </c>
      <c r="B91" s="44" t="s">
        <v>73</v>
      </c>
      <c r="C91" s="44" t="s">
        <v>371</v>
      </c>
      <c r="D91" s="174" t="s">
        <v>713</v>
      </c>
      <c r="E91" s="175"/>
      <c r="F91" s="174"/>
      <c r="G91" s="71">
        <v>3</v>
      </c>
      <c r="H91" s="54">
        <v>0</v>
      </c>
    </row>
    <row r="92" spans="1:8" ht="12.75">
      <c r="A92" s="44" t="s">
        <v>146</v>
      </c>
      <c r="B92" s="44" t="s">
        <v>73</v>
      </c>
      <c r="C92" s="44" t="s">
        <v>372</v>
      </c>
      <c r="D92" s="160" t="s">
        <v>554</v>
      </c>
      <c r="E92" s="161"/>
      <c r="F92" s="44" t="s">
        <v>594</v>
      </c>
      <c r="G92" s="54">
        <v>21</v>
      </c>
      <c r="H92" s="54">
        <v>0</v>
      </c>
    </row>
    <row r="93" spans="4:7" ht="12" customHeight="1">
      <c r="D93" s="174" t="s">
        <v>722</v>
      </c>
      <c r="E93" s="175"/>
      <c r="F93" s="175"/>
      <c r="G93" s="71">
        <v>7</v>
      </c>
    </row>
    <row r="94" spans="1:8" ht="12" customHeight="1">
      <c r="A94" s="44"/>
      <c r="B94" s="44"/>
      <c r="C94" s="44"/>
      <c r="D94" s="174" t="s">
        <v>722</v>
      </c>
      <c r="E94" s="175"/>
      <c r="F94" s="174"/>
      <c r="G94" s="71">
        <v>7</v>
      </c>
      <c r="H94" s="60"/>
    </row>
    <row r="95" spans="1:8" ht="12" customHeight="1">
      <c r="A95" s="44"/>
      <c r="B95" s="44"/>
      <c r="C95" s="44"/>
      <c r="D95" s="174" t="s">
        <v>722</v>
      </c>
      <c r="E95" s="175"/>
      <c r="F95" s="174"/>
      <c r="G95" s="71">
        <v>7</v>
      </c>
      <c r="H95" s="60"/>
    </row>
    <row r="96" spans="1:8" ht="12" customHeight="1">
      <c r="A96" s="44" t="s">
        <v>147</v>
      </c>
      <c r="B96" s="44" t="s">
        <v>73</v>
      </c>
      <c r="C96" s="44" t="s">
        <v>357</v>
      </c>
      <c r="D96" s="174" t="s">
        <v>723</v>
      </c>
      <c r="E96" s="175"/>
      <c r="F96" s="174"/>
      <c r="G96" s="71">
        <v>959.9</v>
      </c>
      <c r="H96" s="54">
        <v>0</v>
      </c>
    </row>
    <row r="97" spans="1:8" ht="12" customHeight="1">
      <c r="A97" s="44" t="s">
        <v>148</v>
      </c>
      <c r="B97" s="44" t="s">
        <v>73</v>
      </c>
      <c r="C97" s="44" t="s">
        <v>373</v>
      </c>
      <c r="D97" s="174" t="s">
        <v>703</v>
      </c>
      <c r="E97" s="175"/>
      <c r="F97" s="174"/>
      <c r="G97" s="71">
        <v>0.03</v>
      </c>
      <c r="H97" s="54">
        <v>0</v>
      </c>
    </row>
    <row r="98" spans="1:8" ht="12" customHeight="1">
      <c r="A98" s="44" t="s">
        <v>149</v>
      </c>
      <c r="B98" s="44" t="s">
        <v>72</v>
      </c>
      <c r="C98" s="44" t="s">
        <v>330</v>
      </c>
      <c r="D98" s="174" t="s">
        <v>724</v>
      </c>
      <c r="E98" s="175"/>
      <c r="F98" s="174"/>
      <c r="G98" s="71">
        <v>18</v>
      </c>
      <c r="H98" s="54">
        <v>0</v>
      </c>
    </row>
    <row r="99" spans="1:8" ht="12.75">
      <c r="A99" s="44" t="s">
        <v>150</v>
      </c>
      <c r="B99" s="44" t="s">
        <v>72</v>
      </c>
      <c r="C99" s="44" t="s">
        <v>331</v>
      </c>
      <c r="D99" s="160" t="s">
        <v>511</v>
      </c>
      <c r="E99" s="161"/>
      <c r="F99" s="44" t="s">
        <v>593</v>
      </c>
      <c r="G99" s="54">
        <v>9.4</v>
      </c>
      <c r="H99" s="54">
        <v>0</v>
      </c>
    </row>
    <row r="100" spans="4:7" ht="12" customHeight="1">
      <c r="D100" s="174" t="s">
        <v>725</v>
      </c>
      <c r="E100" s="175"/>
      <c r="F100" s="175"/>
      <c r="G100" s="71">
        <v>5.4</v>
      </c>
    </row>
    <row r="101" spans="1:8" ht="12" customHeight="1">
      <c r="A101" s="44"/>
      <c r="B101" s="44"/>
      <c r="C101" s="44"/>
      <c r="D101" s="174" t="s">
        <v>726</v>
      </c>
      <c r="E101" s="175"/>
      <c r="F101" s="174"/>
      <c r="G101" s="71">
        <v>4</v>
      </c>
      <c r="H101" s="60"/>
    </row>
    <row r="102" spans="1:8" ht="12.75">
      <c r="A102" s="44" t="s">
        <v>151</v>
      </c>
      <c r="B102" s="44" t="s">
        <v>72</v>
      </c>
      <c r="C102" s="44" t="s">
        <v>332</v>
      </c>
      <c r="D102" s="160" t="s">
        <v>512</v>
      </c>
      <c r="E102" s="161"/>
      <c r="F102" s="44" t="s">
        <v>593</v>
      </c>
      <c r="G102" s="54">
        <v>25.5</v>
      </c>
      <c r="H102" s="54">
        <v>0</v>
      </c>
    </row>
    <row r="103" spans="4:7" ht="12" customHeight="1">
      <c r="D103" s="174" t="s">
        <v>727</v>
      </c>
      <c r="E103" s="175"/>
      <c r="F103" s="175"/>
      <c r="G103" s="71">
        <v>22.5</v>
      </c>
    </row>
    <row r="104" spans="1:8" ht="12" customHeight="1">
      <c r="A104" s="44"/>
      <c r="B104" s="44"/>
      <c r="C104" s="44"/>
      <c r="D104" s="174" t="s">
        <v>728</v>
      </c>
      <c r="E104" s="175"/>
      <c r="F104" s="174"/>
      <c r="G104" s="71">
        <v>3</v>
      </c>
      <c r="H104" s="60"/>
    </row>
    <row r="105" spans="1:8" ht="12" customHeight="1">
      <c r="A105" s="44" t="s">
        <v>152</v>
      </c>
      <c r="B105" s="44" t="s">
        <v>72</v>
      </c>
      <c r="C105" s="44" t="s">
        <v>333</v>
      </c>
      <c r="D105" s="174" t="s">
        <v>729</v>
      </c>
      <c r="E105" s="175"/>
      <c r="F105" s="174"/>
      <c r="G105" s="71">
        <v>6</v>
      </c>
      <c r="H105" s="54">
        <v>0</v>
      </c>
    </row>
    <row r="106" spans="1:8" ht="12" customHeight="1">
      <c r="A106" s="44" t="s">
        <v>153</v>
      </c>
      <c r="B106" s="44" t="s">
        <v>72</v>
      </c>
      <c r="C106" s="44" t="s">
        <v>334</v>
      </c>
      <c r="D106" s="174" t="s">
        <v>730</v>
      </c>
      <c r="E106" s="175"/>
      <c r="F106" s="174"/>
      <c r="G106" s="71">
        <v>58.9</v>
      </c>
      <c r="H106" s="54">
        <v>0</v>
      </c>
    </row>
    <row r="107" spans="1:8" ht="12" customHeight="1">
      <c r="A107" s="44" t="s">
        <v>154</v>
      </c>
      <c r="B107" s="44" t="s">
        <v>72</v>
      </c>
      <c r="C107" s="44" t="s">
        <v>335</v>
      </c>
      <c r="D107" s="174" t="s">
        <v>731</v>
      </c>
      <c r="E107" s="175"/>
      <c r="F107" s="174"/>
      <c r="G107" s="71">
        <v>58.9</v>
      </c>
      <c r="H107" s="54">
        <v>0</v>
      </c>
    </row>
    <row r="108" spans="1:8" ht="12" customHeight="1">
      <c r="A108" s="44" t="s">
        <v>155</v>
      </c>
      <c r="B108" s="44" t="s">
        <v>72</v>
      </c>
      <c r="C108" s="44" t="s">
        <v>336</v>
      </c>
      <c r="D108" s="174" t="s">
        <v>729</v>
      </c>
      <c r="E108" s="175"/>
      <c r="F108" s="174"/>
      <c r="G108" s="71">
        <v>6</v>
      </c>
      <c r="H108" s="54">
        <v>0</v>
      </c>
    </row>
    <row r="109" spans="1:8" ht="12" customHeight="1">
      <c r="A109" s="44" t="s">
        <v>156</v>
      </c>
      <c r="B109" s="44" t="s">
        <v>72</v>
      </c>
      <c r="C109" s="44" t="s">
        <v>337</v>
      </c>
      <c r="D109" s="174" t="s">
        <v>731</v>
      </c>
      <c r="E109" s="175"/>
      <c r="F109" s="174"/>
      <c r="G109" s="71">
        <v>58.9</v>
      </c>
      <c r="H109" s="54">
        <v>0</v>
      </c>
    </row>
    <row r="110" spans="1:8" ht="12.75">
      <c r="A110" s="44" t="s">
        <v>157</v>
      </c>
      <c r="B110" s="44" t="s">
        <v>72</v>
      </c>
      <c r="C110" s="44" t="s">
        <v>338</v>
      </c>
      <c r="D110" s="160" t="s">
        <v>519</v>
      </c>
      <c r="E110" s="161"/>
      <c r="F110" s="44" t="s">
        <v>594</v>
      </c>
      <c r="G110" s="54">
        <v>43</v>
      </c>
      <c r="H110" s="54">
        <v>0</v>
      </c>
    </row>
    <row r="111" spans="4:7" ht="12" customHeight="1">
      <c r="D111" s="174" t="s">
        <v>732</v>
      </c>
      <c r="E111" s="175"/>
      <c r="F111" s="175"/>
      <c r="G111" s="71">
        <v>14</v>
      </c>
    </row>
    <row r="112" spans="1:8" ht="12" customHeight="1">
      <c r="A112" s="44"/>
      <c r="B112" s="44"/>
      <c r="C112" s="44"/>
      <c r="D112" s="174" t="s">
        <v>733</v>
      </c>
      <c r="E112" s="175"/>
      <c r="F112" s="174"/>
      <c r="G112" s="71">
        <v>15</v>
      </c>
      <c r="H112" s="60"/>
    </row>
    <row r="113" spans="1:8" ht="12" customHeight="1">
      <c r="A113" s="44"/>
      <c r="B113" s="44"/>
      <c r="C113" s="44"/>
      <c r="D113" s="174" t="s">
        <v>734</v>
      </c>
      <c r="E113" s="175"/>
      <c r="F113" s="174"/>
      <c r="G113" s="71">
        <v>14</v>
      </c>
      <c r="H113" s="60"/>
    </row>
    <row r="114" spans="1:8" ht="12" customHeight="1">
      <c r="A114" s="44" t="s">
        <v>158</v>
      </c>
      <c r="B114" s="44" t="s">
        <v>72</v>
      </c>
      <c r="C114" s="44" t="s">
        <v>339</v>
      </c>
      <c r="D114" s="174" t="s">
        <v>735</v>
      </c>
      <c r="E114" s="175"/>
      <c r="F114" s="174"/>
      <c r="G114" s="71">
        <v>0.27</v>
      </c>
      <c r="H114" s="54">
        <v>0</v>
      </c>
    </row>
    <row r="115" spans="1:8" ht="12.75">
      <c r="A115" s="45" t="s">
        <v>159</v>
      </c>
      <c r="B115" s="45" t="s">
        <v>72</v>
      </c>
      <c r="C115" s="45" t="s">
        <v>341</v>
      </c>
      <c r="D115" s="162" t="s">
        <v>522</v>
      </c>
      <c r="E115" s="163"/>
      <c r="F115" s="45" t="s">
        <v>594</v>
      </c>
      <c r="G115" s="55">
        <v>3</v>
      </c>
      <c r="H115" s="55">
        <v>0</v>
      </c>
    </row>
    <row r="116" spans="4:7" ht="12" customHeight="1">
      <c r="D116" s="176" t="s">
        <v>712</v>
      </c>
      <c r="E116" s="177"/>
      <c r="F116" s="177"/>
      <c r="G116" s="72">
        <v>1</v>
      </c>
    </row>
    <row r="117" spans="1:8" ht="12" customHeight="1">
      <c r="A117" s="45"/>
      <c r="B117" s="45"/>
      <c r="C117" s="45"/>
      <c r="D117" s="176" t="s">
        <v>712</v>
      </c>
      <c r="E117" s="177"/>
      <c r="F117" s="176"/>
      <c r="G117" s="72">
        <v>1</v>
      </c>
      <c r="H117" s="61"/>
    </row>
    <row r="118" spans="1:8" ht="12" customHeight="1">
      <c r="A118" s="45"/>
      <c r="B118" s="45"/>
      <c r="C118" s="45"/>
      <c r="D118" s="176" t="s">
        <v>712</v>
      </c>
      <c r="E118" s="177"/>
      <c r="F118" s="176"/>
      <c r="G118" s="72">
        <v>1</v>
      </c>
      <c r="H118" s="61"/>
    </row>
    <row r="119" spans="1:8" ht="12.75">
      <c r="A119" s="44" t="s">
        <v>160</v>
      </c>
      <c r="B119" s="44" t="s">
        <v>72</v>
      </c>
      <c r="C119" s="44" t="s">
        <v>342</v>
      </c>
      <c r="D119" s="160" t="s">
        <v>523</v>
      </c>
      <c r="E119" s="161"/>
      <c r="F119" s="44" t="s">
        <v>598</v>
      </c>
      <c r="G119" s="54">
        <v>18</v>
      </c>
      <c r="H119" s="54">
        <v>0</v>
      </c>
    </row>
    <row r="120" spans="4:7" ht="12" customHeight="1">
      <c r="D120" s="174" t="s">
        <v>711</v>
      </c>
      <c r="E120" s="175"/>
      <c r="F120" s="175"/>
      <c r="G120" s="71">
        <v>6</v>
      </c>
    </row>
    <row r="121" spans="1:8" ht="12" customHeight="1">
      <c r="A121" s="44"/>
      <c r="B121" s="44"/>
      <c r="C121" s="44"/>
      <c r="D121" s="174" t="s">
        <v>711</v>
      </c>
      <c r="E121" s="175"/>
      <c r="F121" s="174"/>
      <c r="G121" s="71">
        <v>6</v>
      </c>
      <c r="H121" s="60"/>
    </row>
    <row r="122" spans="1:8" ht="12" customHeight="1">
      <c r="A122" s="44"/>
      <c r="B122" s="44"/>
      <c r="C122" s="44"/>
      <c r="D122" s="174" t="s">
        <v>711</v>
      </c>
      <c r="E122" s="175"/>
      <c r="F122" s="174"/>
      <c r="G122" s="71">
        <v>6</v>
      </c>
      <c r="H122" s="60"/>
    </row>
    <row r="123" spans="1:8" ht="12.75">
      <c r="A123" s="45" t="s">
        <v>161</v>
      </c>
      <c r="B123" s="45" t="s">
        <v>72</v>
      </c>
      <c r="C123" s="45" t="s">
        <v>343</v>
      </c>
      <c r="D123" s="162" t="s">
        <v>524</v>
      </c>
      <c r="E123" s="163"/>
      <c r="F123" s="45" t="s">
        <v>594</v>
      </c>
      <c r="G123" s="55">
        <v>21</v>
      </c>
      <c r="H123" s="55">
        <v>0</v>
      </c>
    </row>
    <row r="124" spans="4:7" ht="12" customHeight="1">
      <c r="D124" s="176" t="s">
        <v>722</v>
      </c>
      <c r="E124" s="177"/>
      <c r="F124" s="177"/>
      <c r="G124" s="72">
        <v>7</v>
      </c>
    </row>
    <row r="125" spans="1:8" ht="12" customHeight="1">
      <c r="A125" s="45"/>
      <c r="B125" s="45"/>
      <c r="C125" s="45"/>
      <c r="D125" s="176" t="s">
        <v>722</v>
      </c>
      <c r="E125" s="177"/>
      <c r="F125" s="176"/>
      <c r="G125" s="72">
        <v>7</v>
      </c>
      <c r="H125" s="61"/>
    </row>
    <row r="126" spans="1:8" ht="12" customHeight="1">
      <c r="A126" s="45"/>
      <c r="B126" s="45"/>
      <c r="C126" s="45"/>
      <c r="D126" s="176" t="s">
        <v>722</v>
      </c>
      <c r="E126" s="177"/>
      <c r="F126" s="176"/>
      <c r="G126" s="72">
        <v>7</v>
      </c>
      <c r="H126" s="61"/>
    </row>
    <row r="127" spans="1:8" ht="12.75">
      <c r="A127" s="44" t="s">
        <v>162</v>
      </c>
      <c r="B127" s="44" t="s">
        <v>72</v>
      </c>
      <c r="C127" s="44" t="s">
        <v>344</v>
      </c>
      <c r="D127" s="160" t="s">
        <v>525</v>
      </c>
      <c r="E127" s="161"/>
      <c r="F127" s="44" t="s">
        <v>594</v>
      </c>
      <c r="G127" s="54">
        <v>21</v>
      </c>
      <c r="H127" s="54">
        <v>0</v>
      </c>
    </row>
    <row r="128" spans="4:7" ht="12" customHeight="1">
      <c r="D128" s="174" t="s">
        <v>722</v>
      </c>
      <c r="E128" s="175"/>
      <c r="F128" s="175"/>
      <c r="G128" s="71">
        <v>7</v>
      </c>
    </row>
    <row r="129" spans="1:8" ht="12" customHeight="1">
      <c r="A129" s="44"/>
      <c r="B129" s="44"/>
      <c r="C129" s="44"/>
      <c r="D129" s="174" t="s">
        <v>722</v>
      </c>
      <c r="E129" s="175"/>
      <c r="F129" s="174"/>
      <c r="G129" s="71">
        <v>7</v>
      </c>
      <c r="H129" s="60"/>
    </row>
    <row r="130" spans="1:8" ht="12" customHeight="1">
      <c r="A130" s="44"/>
      <c r="B130" s="44"/>
      <c r="C130" s="44"/>
      <c r="D130" s="174" t="s">
        <v>722</v>
      </c>
      <c r="E130" s="175"/>
      <c r="F130" s="174"/>
      <c r="G130" s="71">
        <v>7</v>
      </c>
      <c r="H130" s="60"/>
    </row>
    <row r="131" spans="1:8" ht="12" customHeight="1">
      <c r="A131" s="44" t="s">
        <v>163</v>
      </c>
      <c r="B131" s="44" t="s">
        <v>72</v>
      </c>
      <c r="C131" s="44" t="s">
        <v>345</v>
      </c>
      <c r="D131" s="174" t="s">
        <v>713</v>
      </c>
      <c r="E131" s="175"/>
      <c r="F131" s="174"/>
      <c r="G131" s="71">
        <v>3</v>
      </c>
      <c r="H131" s="54">
        <v>0</v>
      </c>
    </row>
    <row r="132" spans="1:8" ht="12.75">
      <c r="A132" s="44" t="s">
        <v>164</v>
      </c>
      <c r="B132" s="44" t="s">
        <v>72</v>
      </c>
      <c r="C132" s="44" t="s">
        <v>346</v>
      </c>
      <c r="D132" s="160" t="s">
        <v>528</v>
      </c>
      <c r="E132" s="161"/>
      <c r="F132" s="44" t="s">
        <v>598</v>
      </c>
      <c r="G132" s="54">
        <v>16</v>
      </c>
      <c r="H132" s="54">
        <v>0</v>
      </c>
    </row>
    <row r="133" spans="4:7" ht="12" customHeight="1">
      <c r="D133" s="174" t="s">
        <v>710</v>
      </c>
      <c r="E133" s="175"/>
      <c r="F133" s="175"/>
      <c r="G133" s="71">
        <v>5</v>
      </c>
    </row>
    <row r="134" spans="1:8" ht="12" customHeight="1">
      <c r="A134" s="44"/>
      <c r="B134" s="44"/>
      <c r="C134" s="44"/>
      <c r="D134" s="174" t="s">
        <v>710</v>
      </c>
      <c r="E134" s="175"/>
      <c r="F134" s="174"/>
      <c r="G134" s="71">
        <v>5</v>
      </c>
      <c r="H134" s="60"/>
    </row>
    <row r="135" spans="1:8" ht="12" customHeight="1">
      <c r="A135" s="44"/>
      <c r="B135" s="44"/>
      <c r="C135" s="44"/>
      <c r="D135" s="174" t="s">
        <v>711</v>
      </c>
      <c r="E135" s="175"/>
      <c r="F135" s="174"/>
      <c r="G135" s="71">
        <v>6</v>
      </c>
      <c r="H135" s="60"/>
    </row>
    <row r="136" spans="1:8" ht="12.75">
      <c r="A136" s="44" t="s">
        <v>165</v>
      </c>
      <c r="B136" s="44" t="s">
        <v>72</v>
      </c>
      <c r="C136" s="44" t="s">
        <v>347</v>
      </c>
      <c r="D136" s="160" t="s">
        <v>529</v>
      </c>
      <c r="E136" s="161"/>
      <c r="F136" s="44" t="s">
        <v>598</v>
      </c>
      <c r="G136" s="54">
        <v>16</v>
      </c>
      <c r="H136" s="54">
        <v>0</v>
      </c>
    </row>
    <row r="137" spans="4:7" ht="12" customHeight="1">
      <c r="D137" s="174" t="s">
        <v>710</v>
      </c>
      <c r="E137" s="175"/>
      <c r="F137" s="175"/>
      <c r="G137" s="71">
        <v>5</v>
      </c>
    </row>
    <row r="138" spans="1:8" ht="12" customHeight="1">
      <c r="A138" s="44"/>
      <c r="B138" s="44"/>
      <c r="C138" s="44"/>
      <c r="D138" s="174" t="s">
        <v>711</v>
      </c>
      <c r="E138" s="175"/>
      <c r="F138" s="174"/>
      <c r="G138" s="71">
        <v>6</v>
      </c>
      <c r="H138" s="60"/>
    </row>
    <row r="139" spans="1:8" ht="12" customHeight="1">
      <c r="A139" s="44"/>
      <c r="B139" s="44"/>
      <c r="C139" s="44"/>
      <c r="D139" s="174" t="s">
        <v>710</v>
      </c>
      <c r="E139" s="175"/>
      <c r="F139" s="174"/>
      <c r="G139" s="71">
        <v>5</v>
      </c>
      <c r="H139" s="60"/>
    </row>
    <row r="140" spans="1:8" ht="12.75">
      <c r="A140" s="44" t="s">
        <v>166</v>
      </c>
      <c r="B140" s="44" t="s">
        <v>72</v>
      </c>
      <c r="C140" s="44" t="s">
        <v>348</v>
      </c>
      <c r="D140" s="160" t="s">
        <v>530</v>
      </c>
      <c r="E140" s="161"/>
      <c r="F140" s="44" t="s">
        <v>598</v>
      </c>
      <c r="G140" s="54">
        <v>12</v>
      </c>
      <c r="H140" s="54">
        <v>0</v>
      </c>
    </row>
    <row r="141" spans="4:7" ht="12" customHeight="1">
      <c r="D141" s="174" t="s">
        <v>717</v>
      </c>
      <c r="E141" s="175"/>
      <c r="F141" s="175"/>
      <c r="G141" s="71">
        <v>4</v>
      </c>
    </row>
    <row r="142" spans="1:8" ht="12" customHeight="1">
      <c r="A142" s="44"/>
      <c r="B142" s="44"/>
      <c r="C142" s="44"/>
      <c r="D142" s="174" t="s">
        <v>717</v>
      </c>
      <c r="E142" s="175"/>
      <c r="F142" s="174"/>
      <c r="G142" s="71">
        <v>4</v>
      </c>
      <c r="H142" s="60"/>
    </row>
    <row r="143" spans="1:8" ht="12" customHeight="1">
      <c r="A143" s="44"/>
      <c r="B143" s="44"/>
      <c r="C143" s="44"/>
      <c r="D143" s="174" t="s">
        <v>717</v>
      </c>
      <c r="E143" s="175"/>
      <c r="F143" s="174"/>
      <c r="G143" s="71">
        <v>4</v>
      </c>
      <c r="H143" s="60"/>
    </row>
    <row r="144" spans="1:8" ht="12.75">
      <c r="A144" s="45" t="s">
        <v>167</v>
      </c>
      <c r="B144" s="45" t="s">
        <v>72</v>
      </c>
      <c r="C144" s="45" t="s">
        <v>349</v>
      </c>
      <c r="D144" s="162" t="s">
        <v>531</v>
      </c>
      <c r="E144" s="163"/>
      <c r="F144" s="45" t="s">
        <v>594</v>
      </c>
      <c r="G144" s="55">
        <v>12</v>
      </c>
      <c r="H144" s="55">
        <v>0</v>
      </c>
    </row>
    <row r="145" spans="4:7" ht="12" customHeight="1">
      <c r="D145" s="176" t="s">
        <v>736</v>
      </c>
      <c r="E145" s="177"/>
      <c r="F145" s="177"/>
      <c r="G145" s="72">
        <v>4</v>
      </c>
    </row>
    <row r="146" spans="1:8" ht="12" customHeight="1">
      <c r="A146" s="45"/>
      <c r="B146" s="45"/>
      <c r="C146" s="45"/>
      <c r="D146" s="176" t="s">
        <v>737</v>
      </c>
      <c r="E146" s="177"/>
      <c r="F146" s="176"/>
      <c r="G146" s="72">
        <v>4</v>
      </c>
      <c r="H146" s="61"/>
    </row>
    <row r="147" spans="1:8" ht="12" customHeight="1">
      <c r="A147" s="45"/>
      <c r="B147" s="45"/>
      <c r="C147" s="45"/>
      <c r="D147" s="176" t="s">
        <v>738</v>
      </c>
      <c r="E147" s="177"/>
      <c r="F147" s="176"/>
      <c r="G147" s="72">
        <v>4</v>
      </c>
      <c r="H147" s="61"/>
    </row>
    <row r="148" spans="1:8" ht="12.75">
      <c r="A148" s="45" t="s">
        <v>168</v>
      </c>
      <c r="B148" s="45" t="s">
        <v>72</v>
      </c>
      <c r="C148" s="45" t="s">
        <v>349</v>
      </c>
      <c r="D148" s="162" t="s">
        <v>531</v>
      </c>
      <c r="E148" s="163"/>
      <c r="F148" s="45" t="s">
        <v>594</v>
      </c>
      <c r="G148" s="55">
        <v>4</v>
      </c>
      <c r="H148" s="55">
        <v>0</v>
      </c>
    </row>
    <row r="149" spans="4:7" ht="12" customHeight="1">
      <c r="D149" s="176" t="s">
        <v>712</v>
      </c>
      <c r="E149" s="177"/>
      <c r="F149" s="177"/>
      <c r="G149" s="72">
        <v>1</v>
      </c>
    </row>
    <row r="150" spans="1:8" ht="12" customHeight="1">
      <c r="A150" s="45"/>
      <c r="B150" s="45"/>
      <c r="C150" s="45"/>
      <c r="D150" s="176" t="s">
        <v>718</v>
      </c>
      <c r="E150" s="177"/>
      <c r="F150" s="176"/>
      <c r="G150" s="72">
        <v>2</v>
      </c>
      <c r="H150" s="61"/>
    </row>
    <row r="151" spans="1:8" ht="12" customHeight="1">
      <c r="A151" s="45"/>
      <c r="B151" s="45"/>
      <c r="C151" s="45"/>
      <c r="D151" s="176" t="s">
        <v>712</v>
      </c>
      <c r="E151" s="177"/>
      <c r="F151" s="176"/>
      <c r="G151" s="72">
        <v>1</v>
      </c>
      <c r="H151" s="61"/>
    </row>
    <row r="152" spans="1:8" ht="12.75">
      <c r="A152" s="44" t="s">
        <v>169</v>
      </c>
      <c r="B152" s="44" t="s">
        <v>72</v>
      </c>
      <c r="C152" s="44" t="s">
        <v>350</v>
      </c>
      <c r="D152" s="160" t="s">
        <v>532</v>
      </c>
      <c r="E152" s="161"/>
      <c r="F152" s="44" t="s">
        <v>598</v>
      </c>
      <c r="G152" s="54">
        <v>4</v>
      </c>
      <c r="H152" s="54">
        <v>0</v>
      </c>
    </row>
    <row r="153" spans="4:7" ht="12" customHeight="1">
      <c r="D153" s="174" t="s">
        <v>712</v>
      </c>
      <c r="E153" s="175"/>
      <c r="F153" s="175"/>
      <c r="G153" s="71">
        <v>1</v>
      </c>
    </row>
    <row r="154" spans="1:8" ht="12" customHeight="1">
      <c r="A154" s="44"/>
      <c r="B154" s="44"/>
      <c r="C154" s="44"/>
      <c r="D154" s="174" t="s">
        <v>718</v>
      </c>
      <c r="E154" s="175"/>
      <c r="F154" s="174"/>
      <c r="G154" s="71">
        <v>2</v>
      </c>
      <c r="H154" s="60"/>
    </row>
    <row r="155" spans="1:8" ht="12" customHeight="1">
      <c r="A155" s="44"/>
      <c r="B155" s="44"/>
      <c r="C155" s="44"/>
      <c r="D155" s="174" t="s">
        <v>712</v>
      </c>
      <c r="E155" s="175"/>
      <c r="F155" s="174"/>
      <c r="G155" s="71">
        <v>1</v>
      </c>
      <c r="H155" s="60"/>
    </row>
    <row r="156" spans="1:8" ht="12" customHeight="1">
      <c r="A156" s="44" t="s">
        <v>170</v>
      </c>
      <c r="B156" s="44" t="s">
        <v>72</v>
      </c>
      <c r="C156" s="44" t="s">
        <v>351</v>
      </c>
      <c r="D156" s="174" t="s">
        <v>713</v>
      </c>
      <c r="E156" s="175"/>
      <c r="F156" s="174"/>
      <c r="G156" s="71">
        <v>3</v>
      </c>
      <c r="H156" s="54">
        <v>0</v>
      </c>
    </row>
    <row r="157" spans="1:8" ht="12.75">
      <c r="A157" s="44" t="s">
        <v>171</v>
      </c>
      <c r="B157" s="44" t="s">
        <v>72</v>
      </c>
      <c r="C157" s="44" t="s">
        <v>352</v>
      </c>
      <c r="D157" s="160" t="s">
        <v>534</v>
      </c>
      <c r="E157" s="161"/>
      <c r="F157" s="44" t="s">
        <v>598</v>
      </c>
      <c r="G157" s="54">
        <v>12</v>
      </c>
      <c r="H157" s="54">
        <v>0</v>
      </c>
    </row>
    <row r="158" spans="4:7" ht="12" customHeight="1">
      <c r="D158" s="174" t="s">
        <v>717</v>
      </c>
      <c r="E158" s="175"/>
      <c r="F158" s="175"/>
      <c r="G158" s="71">
        <v>4</v>
      </c>
    </row>
    <row r="159" spans="1:8" ht="12" customHeight="1">
      <c r="A159" s="44"/>
      <c r="B159" s="44"/>
      <c r="C159" s="44"/>
      <c r="D159" s="174" t="s">
        <v>717</v>
      </c>
      <c r="E159" s="175"/>
      <c r="F159" s="174"/>
      <c r="G159" s="71">
        <v>4</v>
      </c>
      <c r="H159" s="60"/>
    </row>
    <row r="160" spans="1:8" ht="12" customHeight="1">
      <c r="A160" s="44"/>
      <c r="B160" s="44"/>
      <c r="C160" s="44"/>
      <c r="D160" s="174" t="s">
        <v>717</v>
      </c>
      <c r="E160" s="175"/>
      <c r="F160" s="174"/>
      <c r="G160" s="71">
        <v>4</v>
      </c>
      <c r="H160" s="60"/>
    </row>
    <row r="161" spans="1:8" ht="12.75">
      <c r="A161" s="44" t="s">
        <v>172</v>
      </c>
      <c r="B161" s="44" t="s">
        <v>72</v>
      </c>
      <c r="C161" s="44" t="s">
        <v>353</v>
      </c>
      <c r="D161" s="160" t="s">
        <v>535</v>
      </c>
      <c r="E161" s="161"/>
      <c r="F161" s="44" t="s">
        <v>594</v>
      </c>
      <c r="G161" s="54">
        <v>12</v>
      </c>
      <c r="H161" s="54">
        <v>0</v>
      </c>
    </row>
    <row r="162" spans="4:7" ht="12" customHeight="1">
      <c r="D162" s="174" t="s">
        <v>717</v>
      </c>
      <c r="E162" s="175"/>
      <c r="F162" s="175"/>
      <c r="G162" s="71">
        <v>4</v>
      </c>
    </row>
    <row r="163" spans="1:8" ht="12" customHeight="1">
      <c r="A163" s="44"/>
      <c r="B163" s="44"/>
      <c r="C163" s="44"/>
      <c r="D163" s="174" t="s">
        <v>717</v>
      </c>
      <c r="E163" s="175"/>
      <c r="F163" s="174"/>
      <c r="G163" s="71">
        <v>4</v>
      </c>
      <c r="H163" s="60"/>
    </row>
    <row r="164" spans="1:8" ht="12" customHeight="1">
      <c r="A164" s="44"/>
      <c r="B164" s="44"/>
      <c r="C164" s="44"/>
      <c r="D164" s="174" t="s">
        <v>717</v>
      </c>
      <c r="E164" s="175"/>
      <c r="F164" s="174"/>
      <c r="G164" s="71">
        <v>4</v>
      </c>
      <c r="H164" s="60"/>
    </row>
    <row r="165" spans="1:8" ht="12.75">
      <c r="A165" s="44" t="s">
        <v>173</v>
      </c>
      <c r="B165" s="44" t="s">
        <v>72</v>
      </c>
      <c r="C165" s="44" t="s">
        <v>354</v>
      </c>
      <c r="D165" s="160" t="s">
        <v>536</v>
      </c>
      <c r="E165" s="161"/>
      <c r="F165" s="44" t="s">
        <v>598</v>
      </c>
      <c r="G165" s="54">
        <v>9</v>
      </c>
      <c r="H165" s="54">
        <v>0</v>
      </c>
    </row>
    <row r="166" spans="4:7" ht="12" customHeight="1">
      <c r="D166" s="174" t="s">
        <v>713</v>
      </c>
      <c r="E166" s="175"/>
      <c r="F166" s="175"/>
      <c r="G166" s="71">
        <v>3</v>
      </c>
    </row>
    <row r="167" spans="1:8" ht="12" customHeight="1">
      <c r="A167" s="44"/>
      <c r="B167" s="44"/>
      <c r="C167" s="44"/>
      <c r="D167" s="174" t="s">
        <v>713</v>
      </c>
      <c r="E167" s="175"/>
      <c r="F167" s="174"/>
      <c r="G167" s="71">
        <v>3</v>
      </c>
      <c r="H167" s="60"/>
    </row>
    <row r="168" spans="1:8" ht="12" customHeight="1">
      <c r="A168" s="44"/>
      <c r="B168" s="44"/>
      <c r="C168" s="44"/>
      <c r="D168" s="174" t="s">
        <v>713</v>
      </c>
      <c r="E168" s="175"/>
      <c r="F168" s="174"/>
      <c r="G168" s="71">
        <v>3</v>
      </c>
      <c r="H168" s="60"/>
    </row>
    <row r="169" spans="1:8" ht="12.75">
      <c r="A169" s="44" t="s">
        <v>174</v>
      </c>
      <c r="B169" s="44" t="s">
        <v>72</v>
      </c>
      <c r="C169" s="44" t="s">
        <v>355</v>
      </c>
      <c r="D169" s="160" t="s">
        <v>537</v>
      </c>
      <c r="E169" s="161"/>
      <c r="F169" s="44" t="s">
        <v>598</v>
      </c>
      <c r="G169" s="54">
        <v>3</v>
      </c>
      <c r="H169" s="54">
        <v>0</v>
      </c>
    </row>
    <row r="170" spans="4:7" ht="12" customHeight="1">
      <c r="D170" s="174" t="s">
        <v>712</v>
      </c>
      <c r="E170" s="175"/>
      <c r="F170" s="175"/>
      <c r="G170" s="71">
        <v>1</v>
      </c>
    </row>
    <row r="171" spans="1:8" ht="12" customHeight="1">
      <c r="A171" s="44"/>
      <c r="B171" s="44"/>
      <c r="C171" s="44"/>
      <c r="D171" s="174" t="s">
        <v>712</v>
      </c>
      <c r="E171" s="175"/>
      <c r="F171" s="174"/>
      <c r="G171" s="71">
        <v>1</v>
      </c>
      <c r="H171" s="60"/>
    </row>
    <row r="172" spans="1:8" ht="12" customHeight="1">
      <c r="A172" s="44"/>
      <c r="B172" s="44"/>
      <c r="C172" s="44"/>
      <c r="D172" s="174" t="s">
        <v>712</v>
      </c>
      <c r="E172" s="175"/>
      <c r="F172" s="174"/>
      <c r="G172" s="71">
        <v>1</v>
      </c>
      <c r="H172" s="60"/>
    </row>
    <row r="173" spans="1:8" ht="12.75">
      <c r="A173" s="45" t="s">
        <v>175</v>
      </c>
      <c r="B173" s="45" t="s">
        <v>72</v>
      </c>
      <c r="C173" s="45" t="s">
        <v>356</v>
      </c>
      <c r="D173" s="162" t="s">
        <v>538</v>
      </c>
      <c r="E173" s="163"/>
      <c r="F173" s="45" t="s">
        <v>594</v>
      </c>
      <c r="G173" s="55">
        <v>3</v>
      </c>
      <c r="H173" s="55">
        <v>0</v>
      </c>
    </row>
    <row r="174" spans="4:7" ht="12" customHeight="1">
      <c r="D174" s="176" t="s">
        <v>712</v>
      </c>
      <c r="E174" s="177"/>
      <c r="F174" s="177"/>
      <c r="G174" s="72">
        <v>1</v>
      </c>
    </row>
    <row r="175" spans="1:8" ht="12" customHeight="1">
      <c r="A175" s="45"/>
      <c r="B175" s="45"/>
      <c r="C175" s="45"/>
      <c r="D175" s="176" t="s">
        <v>712</v>
      </c>
      <c r="E175" s="177"/>
      <c r="F175" s="176"/>
      <c r="G175" s="72">
        <v>1</v>
      </c>
      <c r="H175" s="61"/>
    </row>
    <row r="176" spans="1:8" ht="12" customHeight="1">
      <c r="A176" s="45"/>
      <c r="B176" s="45"/>
      <c r="C176" s="45"/>
      <c r="D176" s="176" t="s">
        <v>712</v>
      </c>
      <c r="E176" s="177"/>
      <c r="F176" s="176"/>
      <c r="G176" s="72">
        <v>1</v>
      </c>
      <c r="H176" s="61"/>
    </row>
    <row r="177" spans="1:8" ht="12" customHeight="1">
      <c r="A177" s="44" t="s">
        <v>176</v>
      </c>
      <c r="B177" s="44" t="s">
        <v>72</v>
      </c>
      <c r="C177" s="44" t="s">
        <v>357</v>
      </c>
      <c r="D177" s="174" t="s">
        <v>739</v>
      </c>
      <c r="E177" s="175"/>
      <c r="F177" s="174"/>
      <c r="G177" s="71">
        <v>4254.5</v>
      </c>
      <c r="H177" s="54">
        <v>0</v>
      </c>
    </row>
    <row r="178" spans="1:8" ht="12" customHeight="1">
      <c r="A178" s="44" t="s">
        <v>177</v>
      </c>
      <c r="B178" s="44" t="s">
        <v>72</v>
      </c>
      <c r="C178" s="44" t="s">
        <v>358</v>
      </c>
      <c r="D178" s="174" t="s">
        <v>740</v>
      </c>
      <c r="E178" s="175"/>
      <c r="F178" s="174"/>
      <c r="G178" s="71">
        <v>0.14</v>
      </c>
      <c r="H178" s="54">
        <v>0</v>
      </c>
    </row>
    <row r="179" spans="1:8" ht="12.75">
      <c r="A179" s="44" t="s">
        <v>178</v>
      </c>
      <c r="B179" s="44" t="s">
        <v>74</v>
      </c>
      <c r="C179" s="44" t="s">
        <v>378</v>
      </c>
      <c r="D179" s="160" t="s">
        <v>562</v>
      </c>
      <c r="E179" s="161"/>
      <c r="F179" s="44" t="s">
        <v>593</v>
      </c>
      <c r="G179" s="54">
        <v>24</v>
      </c>
      <c r="H179" s="54">
        <v>0</v>
      </c>
    </row>
    <row r="180" spans="4:7" ht="12" customHeight="1">
      <c r="D180" s="174" t="s">
        <v>741</v>
      </c>
      <c r="E180" s="175"/>
      <c r="F180" s="175"/>
      <c r="G180" s="71">
        <v>8</v>
      </c>
    </row>
    <row r="181" spans="1:8" ht="12" customHeight="1">
      <c r="A181" s="44"/>
      <c r="B181" s="44"/>
      <c r="C181" s="44"/>
      <c r="D181" s="174" t="s">
        <v>741</v>
      </c>
      <c r="E181" s="175"/>
      <c r="F181" s="174"/>
      <c r="G181" s="71">
        <v>8</v>
      </c>
      <c r="H181" s="60"/>
    </row>
    <row r="182" spans="1:8" ht="12" customHeight="1">
      <c r="A182" s="44"/>
      <c r="B182" s="44"/>
      <c r="C182" s="44"/>
      <c r="D182" s="174" t="s">
        <v>741</v>
      </c>
      <c r="E182" s="175"/>
      <c r="F182" s="174"/>
      <c r="G182" s="71">
        <v>8</v>
      </c>
      <c r="H182" s="60"/>
    </row>
    <row r="183" spans="1:8" ht="12.75">
      <c r="A183" s="44" t="s">
        <v>179</v>
      </c>
      <c r="B183" s="44" t="s">
        <v>74</v>
      </c>
      <c r="C183" s="44" t="s">
        <v>379</v>
      </c>
      <c r="D183" s="160" t="s">
        <v>563</v>
      </c>
      <c r="E183" s="161"/>
      <c r="F183" s="44" t="s">
        <v>593</v>
      </c>
      <c r="G183" s="54">
        <v>6</v>
      </c>
      <c r="H183" s="54">
        <v>0</v>
      </c>
    </row>
    <row r="184" spans="4:7" ht="12" customHeight="1">
      <c r="D184" s="174" t="s">
        <v>742</v>
      </c>
      <c r="E184" s="175"/>
      <c r="F184" s="175"/>
      <c r="G184" s="71">
        <v>2</v>
      </c>
    </row>
    <row r="185" spans="1:8" ht="12" customHeight="1">
      <c r="A185" s="44"/>
      <c r="B185" s="44"/>
      <c r="C185" s="44"/>
      <c r="D185" s="174" t="s">
        <v>742</v>
      </c>
      <c r="E185" s="175"/>
      <c r="F185" s="174"/>
      <c r="G185" s="71">
        <v>2</v>
      </c>
      <c r="H185" s="60"/>
    </row>
    <row r="186" spans="1:8" ht="12" customHeight="1">
      <c r="A186" s="44"/>
      <c r="B186" s="44"/>
      <c r="C186" s="44"/>
      <c r="D186" s="174" t="s">
        <v>742</v>
      </c>
      <c r="E186" s="175"/>
      <c r="F186" s="174"/>
      <c r="G186" s="71">
        <v>2</v>
      </c>
      <c r="H186" s="60"/>
    </row>
    <row r="187" spans="1:8" ht="12" customHeight="1">
      <c r="A187" s="44" t="s">
        <v>180</v>
      </c>
      <c r="B187" s="44" t="s">
        <v>74</v>
      </c>
      <c r="C187" s="44" t="s">
        <v>380</v>
      </c>
      <c r="D187" s="174" t="s">
        <v>743</v>
      </c>
      <c r="E187" s="175"/>
      <c r="F187" s="174"/>
      <c r="G187" s="71">
        <v>211.5</v>
      </c>
      <c r="H187" s="54">
        <v>0</v>
      </c>
    </row>
    <row r="188" spans="1:8" ht="12.75">
      <c r="A188" s="44" t="s">
        <v>181</v>
      </c>
      <c r="B188" s="44" t="s">
        <v>74</v>
      </c>
      <c r="C188" s="44" t="s">
        <v>381</v>
      </c>
      <c r="D188" s="160" t="s">
        <v>565</v>
      </c>
      <c r="E188" s="161"/>
      <c r="F188" s="44" t="s">
        <v>594</v>
      </c>
      <c r="G188" s="54">
        <v>18</v>
      </c>
      <c r="H188" s="54">
        <v>0</v>
      </c>
    </row>
    <row r="189" spans="4:7" ht="12" customHeight="1">
      <c r="D189" s="174" t="s">
        <v>744</v>
      </c>
      <c r="E189" s="175"/>
      <c r="F189" s="175"/>
      <c r="G189" s="71">
        <v>6</v>
      </c>
    </row>
    <row r="190" spans="1:8" ht="12" customHeight="1">
      <c r="A190" s="44"/>
      <c r="B190" s="44"/>
      <c r="C190" s="44"/>
      <c r="D190" s="174" t="s">
        <v>744</v>
      </c>
      <c r="E190" s="175"/>
      <c r="F190" s="174"/>
      <c r="G190" s="71">
        <v>6</v>
      </c>
      <c r="H190" s="60"/>
    </row>
    <row r="191" spans="1:8" ht="12" customHeight="1">
      <c r="A191" s="44"/>
      <c r="B191" s="44"/>
      <c r="C191" s="44"/>
      <c r="D191" s="174" t="s">
        <v>744</v>
      </c>
      <c r="E191" s="175"/>
      <c r="F191" s="174"/>
      <c r="G191" s="71">
        <v>6</v>
      </c>
      <c r="H191" s="60"/>
    </row>
    <row r="192" spans="1:8" ht="12.75">
      <c r="A192" s="44" t="s">
        <v>182</v>
      </c>
      <c r="B192" s="44" t="s">
        <v>74</v>
      </c>
      <c r="C192" s="44" t="s">
        <v>382</v>
      </c>
      <c r="D192" s="160" t="s">
        <v>566</v>
      </c>
      <c r="E192" s="161"/>
      <c r="F192" s="44" t="s">
        <v>593</v>
      </c>
      <c r="G192" s="54">
        <v>9</v>
      </c>
      <c r="H192" s="54">
        <v>0</v>
      </c>
    </row>
    <row r="193" spans="4:7" ht="12" customHeight="1">
      <c r="D193" s="174" t="s">
        <v>745</v>
      </c>
      <c r="E193" s="175"/>
      <c r="F193" s="175"/>
      <c r="G193" s="71">
        <v>3</v>
      </c>
    </row>
    <row r="194" spans="1:8" ht="12" customHeight="1">
      <c r="A194" s="44"/>
      <c r="B194" s="44"/>
      <c r="C194" s="44"/>
      <c r="D194" s="174" t="s">
        <v>713</v>
      </c>
      <c r="E194" s="175"/>
      <c r="F194" s="174"/>
      <c r="G194" s="71">
        <v>3</v>
      </c>
      <c r="H194" s="60"/>
    </row>
    <row r="195" spans="1:8" ht="12" customHeight="1">
      <c r="A195" s="44"/>
      <c r="B195" s="44"/>
      <c r="C195" s="44"/>
      <c r="D195" s="174" t="s">
        <v>713</v>
      </c>
      <c r="E195" s="175"/>
      <c r="F195" s="174"/>
      <c r="G195" s="71">
        <v>3</v>
      </c>
      <c r="H195" s="60"/>
    </row>
    <row r="196" spans="1:8" ht="12.75">
      <c r="A196" s="44" t="s">
        <v>96</v>
      </c>
      <c r="B196" s="44" t="s">
        <v>74</v>
      </c>
      <c r="C196" s="44" t="s">
        <v>383</v>
      </c>
      <c r="D196" s="160" t="s">
        <v>568</v>
      </c>
      <c r="E196" s="161"/>
      <c r="F196" s="44" t="s">
        <v>597</v>
      </c>
      <c r="G196" s="54">
        <v>6</v>
      </c>
      <c r="H196" s="54">
        <v>0</v>
      </c>
    </row>
    <row r="197" spans="4:7" ht="12" customHeight="1">
      <c r="D197" s="174" t="s">
        <v>718</v>
      </c>
      <c r="E197" s="175"/>
      <c r="F197" s="175"/>
      <c r="G197" s="71">
        <v>2</v>
      </c>
    </row>
    <row r="198" spans="1:8" ht="12" customHeight="1">
      <c r="A198" s="44"/>
      <c r="B198" s="44"/>
      <c r="C198" s="44"/>
      <c r="D198" s="174" t="s">
        <v>718</v>
      </c>
      <c r="E198" s="175"/>
      <c r="F198" s="174"/>
      <c r="G198" s="71">
        <v>2</v>
      </c>
      <c r="H198" s="60"/>
    </row>
    <row r="199" spans="1:8" ht="12" customHeight="1">
      <c r="A199" s="44"/>
      <c r="B199" s="44"/>
      <c r="C199" s="44"/>
      <c r="D199" s="174" t="s">
        <v>718</v>
      </c>
      <c r="E199" s="175"/>
      <c r="F199" s="174"/>
      <c r="G199" s="71">
        <v>2</v>
      </c>
      <c r="H199" s="60"/>
    </row>
    <row r="200" spans="1:8" ht="12.75">
      <c r="A200" s="44" t="s">
        <v>101</v>
      </c>
      <c r="B200" s="44" t="s">
        <v>74</v>
      </c>
      <c r="C200" s="44" t="s">
        <v>384</v>
      </c>
      <c r="D200" s="160" t="s">
        <v>570</v>
      </c>
      <c r="E200" s="161"/>
      <c r="F200" s="44" t="s">
        <v>593</v>
      </c>
      <c r="G200" s="54">
        <v>30</v>
      </c>
      <c r="H200" s="54">
        <v>0</v>
      </c>
    </row>
    <row r="201" spans="4:7" ht="12" customHeight="1">
      <c r="D201" s="174" t="s">
        <v>746</v>
      </c>
      <c r="E201" s="175"/>
      <c r="F201" s="175"/>
      <c r="G201" s="71">
        <v>10</v>
      </c>
    </row>
    <row r="202" spans="1:8" ht="12" customHeight="1">
      <c r="A202" s="44"/>
      <c r="B202" s="44"/>
      <c r="C202" s="44"/>
      <c r="D202" s="174" t="s">
        <v>746</v>
      </c>
      <c r="E202" s="175"/>
      <c r="F202" s="174"/>
      <c r="G202" s="71">
        <v>10</v>
      </c>
      <c r="H202" s="60"/>
    </row>
    <row r="203" spans="1:8" ht="12" customHeight="1">
      <c r="A203" s="44"/>
      <c r="B203" s="44"/>
      <c r="C203" s="44"/>
      <c r="D203" s="174" t="s">
        <v>746</v>
      </c>
      <c r="E203" s="175"/>
      <c r="F203" s="174"/>
      <c r="G203" s="71">
        <v>10</v>
      </c>
      <c r="H203" s="60"/>
    </row>
    <row r="204" spans="1:8" ht="12.75">
      <c r="A204" s="44" t="s">
        <v>103</v>
      </c>
      <c r="B204" s="44" t="s">
        <v>74</v>
      </c>
      <c r="C204" s="44" t="s">
        <v>385</v>
      </c>
      <c r="D204" s="160" t="s">
        <v>571</v>
      </c>
      <c r="E204" s="161"/>
      <c r="F204" s="44" t="s">
        <v>594</v>
      </c>
      <c r="G204" s="54">
        <v>6</v>
      </c>
      <c r="H204" s="54">
        <v>0</v>
      </c>
    </row>
    <row r="205" spans="4:7" ht="12" customHeight="1">
      <c r="D205" s="174" t="s">
        <v>718</v>
      </c>
      <c r="E205" s="175"/>
      <c r="F205" s="175"/>
      <c r="G205" s="71">
        <v>2</v>
      </c>
    </row>
    <row r="206" spans="1:8" ht="12" customHeight="1">
      <c r="A206" s="44"/>
      <c r="B206" s="44"/>
      <c r="C206" s="44"/>
      <c r="D206" s="174" t="s">
        <v>718</v>
      </c>
      <c r="E206" s="175"/>
      <c r="F206" s="174"/>
      <c r="G206" s="71">
        <v>2</v>
      </c>
      <c r="H206" s="60"/>
    </row>
    <row r="207" spans="1:8" ht="12" customHeight="1">
      <c r="A207" s="44"/>
      <c r="B207" s="44"/>
      <c r="C207" s="44"/>
      <c r="D207" s="174" t="s">
        <v>718</v>
      </c>
      <c r="E207" s="175"/>
      <c r="F207" s="174"/>
      <c r="G207" s="71">
        <v>2</v>
      </c>
      <c r="H207" s="60"/>
    </row>
    <row r="208" spans="1:8" ht="12" customHeight="1">
      <c r="A208" s="44" t="s">
        <v>183</v>
      </c>
      <c r="B208" s="44" t="s">
        <v>74</v>
      </c>
      <c r="C208" s="44" t="s">
        <v>357</v>
      </c>
      <c r="D208" s="174" t="s">
        <v>747</v>
      </c>
      <c r="E208" s="175"/>
      <c r="F208" s="174"/>
      <c r="G208" s="71">
        <v>1089</v>
      </c>
      <c r="H208" s="54">
        <v>0</v>
      </c>
    </row>
    <row r="209" spans="1:8" ht="12" customHeight="1">
      <c r="A209" s="44" t="s">
        <v>184</v>
      </c>
      <c r="B209" s="44" t="s">
        <v>74</v>
      </c>
      <c r="C209" s="44" t="s">
        <v>386</v>
      </c>
      <c r="D209" s="174" t="s">
        <v>748</v>
      </c>
      <c r="E209" s="175"/>
      <c r="F209" s="174"/>
      <c r="G209" s="71">
        <v>0.2</v>
      </c>
      <c r="H209" s="54">
        <v>0</v>
      </c>
    </row>
    <row r="210" spans="1:8" ht="12.75">
      <c r="A210" s="44" t="s">
        <v>97</v>
      </c>
      <c r="B210" s="44" t="s">
        <v>74</v>
      </c>
      <c r="C210" s="44" t="s">
        <v>388</v>
      </c>
      <c r="D210" s="160" t="s">
        <v>574</v>
      </c>
      <c r="E210" s="161"/>
      <c r="F210" s="44" t="s">
        <v>594</v>
      </c>
      <c r="G210" s="54">
        <v>6</v>
      </c>
      <c r="H210" s="54">
        <v>0</v>
      </c>
    </row>
    <row r="211" spans="4:7" ht="12" customHeight="1">
      <c r="D211" s="174" t="s">
        <v>718</v>
      </c>
      <c r="E211" s="175"/>
      <c r="F211" s="175"/>
      <c r="G211" s="71">
        <v>2</v>
      </c>
    </row>
    <row r="212" spans="1:8" ht="12" customHeight="1">
      <c r="A212" s="44"/>
      <c r="B212" s="44"/>
      <c r="C212" s="44"/>
      <c r="D212" s="174" t="s">
        <v>718</v>
      </c>
      <c r="E212" s="175"/>
      <c r="F212" s="174"/>
      <c r="G212" s="71">
        <v>2</v>
      </c>
      <c r="H212" s="60"/>
    </row>
    <row r="213" spans="1:8" ht="12" customHeight="1">
      <c r="A213" s="44"/>
      <c r="B213" s="44"/>
      <c r="C213" s="44"/>
      <c r="D213" s="174" t="s">
        <v>718</v>
      </c>
      <c r="E213" s="175"/>
      <c r="F213" s="174"/>
      <c r="G213" s="71">
        <v>2</v>
      </c>
      <c r="H213" s="60"/>
    </row>
    <row r="214" spans="1:8" ht="12.75">
      <c r="A214" s="45" t="s">
        <v>98</v>
      </c>
      <c r="B214" s="45" t="s">
        <v>74</v>
      </c>
      <c r="C214" s="45" t="s">
        <v>389</v>
      </c>
      <c r="D214" s="162" t="s">
        <v>575</v>
      </c>
      <c r="E214" s="163"/>
      <c r="F214" s="45" t="s">
        <v>594</v>
      </c>
      <c r="G214" s="55">
        <v>6</v>
      </c>
      <c r="H214" s="55">
        <v>0</v>
      </c>
    </row>
    <row r="215" spans="4:7" ht="12" customHeight="1">
      <c r="D215" s="176" t="s">
        <v>718</v>
      </c>
      <c r="E215" s="177"/>
      <c r="F215" s="177"/>
      <c r="G215" s="72">
        <v>2</v>
      </c>
    </row>
    <row r="216" spans="1:8" ht="12" customHeight="1">
      <c r="A216" s="45"/>
      <c r="B216" s="45"/>
      <c r="C216" s="45"/>
      <c r="D216" s="176" t="s">
        <v>718</v>
      </c>
      <c r="E216" s="177"/>
      <c r="F216" s="176"/>
      <c r="G216" s="72">
        <v>2</v>
      </c>
      <c r="H216" s="61"/>
    </row>
    <row r="217" spans="1:8" ht="12" customHeight="1">
      <c r="A217" s="45"/>
      <c r="B217" s="45"/>
      <c r="C217" s="45"/>
      <c r="D217" s="176" t="s">
        <v>718</v>
      </c>
      <c r="E217" s="177"/>
      <c r="F217" s="176"/>
      <c r="G217" s="72">
        <v>2</v>
      </c>
      <c r="H217" s="61"/>
    </row>
    <row r="218" spans="1:8" ht="12.75">
      <c r="A218" s="44" t="s">
        <v>99</v>
      </c>
      <c r="B218" s="44" t="s">
        <v>74</v>
      </c>
      <c r="C218" s="44" t="s">
        <v>390</v>
      </c>
      <c r="D218" s="160" t="s">
        <v>576</v>
      </c>
      <c r="E218" s="161"/>
      <c r="F218" s="44" t="s">
        <v>598</v>
      </c>
      <c r="G218" s="54">
        <v>3</v>
      </c>
      <c r="H218" s="54">
        <v>0</v>
      </c>
    </row>
    <row r="219" spans="4:7" ht="12" customHeight="1">
      <c r="D219" s="174" t="s">
        <v>712</v>
      </c>
      <c r="E219" s="175"/>
      <c r="F219" s="175"/>
      <c r="G219" s="71">
        <v>1</v>
      </c>
    </row>
    <row r="220" spans="1:8" ht="12" customHeight="1">
      <c r="A220" s="44"/>
      <c r="B220" s="44"/>
      <c r="C220" s="44"/>
      <c r="D220" s="174" t="s">
        <v>712</v>
      </c>
      <c r="E220" s="175"/>
      <c r="F220" s="174"/>
      <c r="G220" s="71">
        <v>1</v>
      </c>
      <c r="H220" s="60"/>
    </row>
    <row r="221" spans="1:8" ht="12" customHeight="1">
      <c r="A221" s="44"/>
      <c r="B221" s="44"/>
      <c r="C221" s="44"/>
      <c r="D221" s="174" t="s">
        <v>712</v>
      </c>
      <c r="E221" s="175"/>
      <c r="F221" s="174"/>
      <c r="G221" s="71">
        <v>1</v>
      </c>
      <c r="H221" s="60"/>
    </row>
    <row r="222" spans="1:8" ht="12.75">
      <c r="A222" s="45" t="s">
        <v>185</v>
      </c>
      <c r="B222" s="45" t="s">
        <v>74</v>
      </c>
      <c r="C222" s="45" t="s">
        <v>391</v>
      </c>
      <c r="D222" s="162" t="s">
        <v>577</v>
      </c>
      <c r="E222" s="163"/>
      <c r="F222" s="45" t="s">
        <v>594</v>
      </c>
      <c r="G222" s="55">
        <v>3</v>
      </c>
      <c r="H222" s="55">
        <v>0</v>
      </c>
    </row>
    <row r="223" spans="4:7" ht="12" customHeight="1">
      <c r="D223" s="176" t="s">
        <v>712</v>
      </c>
      <c r="E223" s="177"/>
      <c r="F223" s="177"/>
      <c r="G223" s="72">
        <v>1</v>
      </c>
    </row>
    <row r="224" spans="1:8" ht="12" customHeight="1">
      <c r="A224" s="45"/>
      <c r="B224" s="45"/>
      <c r="C224" s="45"/>
      <c r="D224" s="176" t="s">
        <v>712</v>
      </c>
      <c r="E224" s="177"/>
      <c r="F224" s="176"/>
      <c r="G224" s="72">
        <v>1</v>
      </c>
      <c r="H224" s="61"/>
    </row>
    <row r="225" spans="1:8" ht="12" customHeight="1">
      <c r="A225" s="45"/>
      <c r="B225" s="45"/>
      <c r="C225" s="45"/>
      <c r="D225" s="176" t="s">
        <v>712</v>
      </c>
      <c r="E225" s="177"/>
      <c r="F225" s="176"/>
      <c r="G225" s="72">
        <v>1</v>
      </c>
      <c r="H225" s="61"/>
    </row>
    <row r="226" spans="1:8" ht="12.75">
      <c r="A226" s="44" t="s">
        <v>186</v>
      </c>
      <c r="B226" s="44" t="s">
        <v>74</v>
      </c>
      <c r="C226" s="44" t="s">
        <v>392</v>
      </c>
      <c r="D226" s="160" t="s">
        <v>578</v>
      </c>
      <c r="E226" s="161"/>
      <c r="F226" s="44" t="s">
        <v>594</v>
      </c>
      <c r="G226" s="54">
        <v>9</v>
      </c>
      <c r="H226" s="54">
        <v>0</v>
      </c>
    </row>
    <row r="227" spans="4:7" ht="12" customHeight="1">
      <c r="D227" s="174" t="s">
        <v>713</v>
      </c>
      <c r="E227" s="175"/>
      <c r="F227" s="175"/>
      <c r="G227" s="71">
        <v>3</v>
      </c>
    </row>
    <row r="228" spans="1:8" ht="12" customHeight="1">
      <c r="A228" s="44"/>
      <c r="B228" s="44"/>
      <c r="C228" s="44"/>
      <c r="D228" s="174" t="s">
        <v>713</v>
      </c>
      <c r="E228" s="175"/>
      <c r="F228" s="174"/>
      <c r="G228" s="71">
        <v>3</v>
      </c>
      <c r="H228" s="60"/>
    </row>
    <row r="229" spans="1:8" ht="12" customHeight="1">
      <c r="A229" s="44"/>
      <c r="B229" s="44"/>
      <c r="C229" s="44"/>
      <c r="D229" s="174" t="s">
        <v>713</v>
      </c>
      <c r="E229" s="175"/>
      <c r="F229" s="174"/>
      <c r="G229" s="71">
        <v>3</v>
      </c>
      <c r="H229" s="60"/>
    </row>
    <row r="230" spans="1:8" ht="12.75">
      <c r="A230" s="44" t="s">
        <v>187</v>
      </c>
      <c r="B230" s="44" t="s">
        <v>74</v>
      </c>
      <c r="C230" s="44" t="s">
        <v>393</v>
      </c>
      <c r="D230" s="160" t="s">
        <v>579</v>
      </c>
      <c r="E230" s="161"/>
      <c r="F230" s="44" t="s">
        <v>594</v>
      </c>
      <c r="G230" s="54">
        <v>9</v>
      </c>
      <c r="H230" s="54">
        <v>0</v>
      </c>
    </row>
    <row r="231" spans="4:7" ht="12" customHeight="1">
      <c r="D231" s="174" t="s">
        <v>713</v>
      </c>
      <c r="E231" s="175"/>
      <c r="F231" s="175"/>
      <c r="G231" s="71">
        <v>3</v>
      </c>
    </row>
    <row r="232" spans="1:8" ht="12" customHeight="1">
      <c r="A232" s="44"/>
      <c r="B232" s="44"/>
      <c r="C232" s="44"/>
      <c r="D232" s="174" t="s">
        <v>713</v>
      </c>
      <c r="E232" s="175"/>
      <c r="F232" s="174"/>
      <c r="G232" s="71">
        <v>3</v>
      </c>
      <c r="H232" s="60"/>
    </row>
    <row r="233" spans="1:8" ht="12" customHeight="1">
      <c r="A233" s="44"/>
      <c r="B233" s="44"/>
      <c r="C233" s="44"/>
      <c r="D233" s="174" t="s">
        <v>713</v>
      </c>
      <c r="E233" s="175"/>
      <c r="F233" s="174"/>
      <c r="G233" s="71">
        <v>3</v>
      </c>
      <c r="H233" s="60"/>
    </row>
    <row r="234" spans="1:8" ht="12" customHeight="1">
      <c r="A234" s="44" t="s">
        <v>188</v>
      </c>
      <c r="B234" s="44" t="s">
        <v>74</v>
      </c>
      <c r="C234" s="44" t="s">
        <v>394</v>
      </c>
      <c r="D234" s="174" t="s">
        <v>749</v>
      </c>
      <c r="E234" s="175"/>
      <c r="F234" s="174"/>
      <c r="G234" s="71">
        <v>9</v>
      </c>
      <c r="H234" s="54">
        <v>0</v>
      </c>
    </row>
    <row r="235" spans="1:8" ht="12" customHeight="1">
      <c r="A235" s="44" t="s">
        <v>189</v>
      </c>
      <c r="B235" s="44" t="s">
        <v>74</v>
      </c>
      <c r="C235" s="44" t="s">
        <v>395</v>
      </c>
      <c r="D235" s="174" t="s">
        <v>750</v>
      </c>
      <c r="E235" s="175"/>
      <c r="F235" s="174"/>
      <c r="G235" s="71">
        <v>20</v>
      </c>
      <c r="H235" s="54">
        <v>0</v>
      </c>
    </row>
    <row r="236" spans="1:8" ht="12" customHeight="1">
      <c r="A236" s="44" t="s">
        <v>190</v>
      </c>
      <c r="B236" s="44" t="s">
        <v>74</v>
      </c>
      <c r="C236" s="44" t="s">
        <v>396</v>
      </c>
      <c r="D236" s="174" t="s">
        <v>719</v>
      </c>
      <c r="E236" s="175"/>
      <c r="F236" s="174"/>
      <c r="G236" s="71">
        <v>18</v>
      </c>
      <c r="H236" s="54">
        <v>0</v>
      </c>
    </row>
    <row r="237" spans="1:8" ht="12" customHeight="1">
      <c r="A237" s="44" t="s">
        <v>191</v>
      </c>
      <c r="B237" s="44" t="s">
        <v>74</v>
      </c>
      <c r="C237" s="44" t="s">
        <v>397</v>
      </c>
      <c r="D237" s="174" t="s">
        <v>751</v>
      </c>
      <c r="E237" s="175"/>
      <c r="F237" s="174"/>
      <c r="G237" s="71">
        <v>0.06</v>
      </c>
      <c r="H237" s="54">
        <v>0</v>
      </c>
    </row>
    <row r="238" spans="1:8" ht="12.75">
      <c r="A238" s="44" t="s">
        <v>192</v>
      </c>
      <c r="B238" s="44" t="s">
        <v>71</v>
      </c>
      <c r="C238" s="44" t="s">
        <v>271</v>
      </c>
      <c r="D238" s="160" t="s">
        <v>439</v>
      </c>
      <c r="E238" s="161"/>
      <c r="F238" s="44" t="s">
        <v>593</v>
      </c>
      <c r="G238" s="54">
        <v>83.16</v>
      </c>
      <c r="H238" s="54">
        <v>0</v>
      </c>
    </row>
    <row r="239" spans="4:7" ht="12" customHeight="1">
      <c r="D239" s="174" t="s">
        <v>752</v>
      </c>
      <c r="E239" s="175"/>
      <c r="F239" s="175"/>
      <c r="G239" s="71">
        <v>27.18</v>
      </c>
    </row>
    <row r="240" spans="1:8" ht="12" customHeight="1">
      <c r="A240" s="44"/>
      <c r="B240" s="44"/>
      <c r="C240" s="44"/>
      <c r="D240" s="174" t="s">
        <v>753</v>
      </c>
      <c r="E240" s="175"/>
      <c r="F240" s="174"/>
      <c r="G240" s="71">
        <v>27.06</v>
      </c>
      <c r="H240" s="60"/>
    </row>
    <row r="241" spans="1:8" ht="12" customHeight="1">
      <c r="A241" s="44"/>
      <c r="B241" s="44"/>
      <c r="C241" s="44"/>
      <c r="D241" s="174" t="s">
        <v>754</v>
      </c>
      <c r="E241" s="175"/>
      <c r="F241" s="174"/>
      <c r="G241" s="71">
        <v>9.96</v>
      </c>
      <c r="H241" s="60"/>
    </row>
    <row r="242" spans="1:8" ht="12" customHeight="1">
      <c r="A242" s="44"/>
      <c r="B242" s="44"/>
      <c r="C242" s="44"/>
      <c r="D242" s="174" t="s">
        <v>755</v>
      </c>
      <c r="E242" s="175"/>
      <c r="F242" s="174"/>
      <c r="G242" s="71">
        <v>18.96</v>
      </c>
      <c r="H242" s="60"/>
    </row>
    <row r="243" spans="1:8" ht="12" customHeight="1">
      <c r="A243" s="45" t="s">
        <v>193</v>
      </c>
      <c r="B243" s="45" t="s">
        <v>71</v>
      </c>
      <c r="C243" s="45" t="s">
        <v>272</v>
      </c>
      <c r="D243" s="176" t="s">
        <v>756</v>
      </c>
      <c r="E243" s="177"/>
      <c r="F243" s="176"/>
      <c r="G243" s="72">
        <v>3</v>
      </c>
      <c r="H243" s="55">
        <v>0</v>
      </c>
    </row>
    <row r="244" spans="1:8" ht="12.75">
      <c r="A244" s="45" t="s">
        <v>194</v>
      </c>
      <c r="B244" s="45" t="s">
        <v>71</v>
      </c>
      <c r="C244" s="45" t="s">
        <v>273</v>
      </c>
      <c r="D244" s="162" t="s">
        <v>441</v>
      </c>
      <c r="E244" s="163"/>
      <c r="F244" s="45" t="s">
        <v>595</v>
      </c>
      <c r="G244" s="55">
        <v>30.8</v>
      </c>
      <c r="H244" s="55">
        <v>0</v>
      </c>
    </row>
    <row r="245" spans="4:7" ht="12" customHeight="1">
      <c r="D245" s="176" t="s">
        <v>757</v>
      </c>
      <c r="E245" s="177"/>
      <c r="F245" s="177"/>
      <c r="G245" s="72">
        <v>14.36</v>
      </c>
    </row>
    <row r="246" spans="1:8" ht="12" customHeight="1">
      <c r="A246" s="45"/>
      <c r="B246" s="45"/>
      <c r="C246" s="45"/>
      <c r="D246" s="176" t="s">
        <v>758</v>
      </c>
      <c r="E246" s="177"/>
      <c r="F246" s="176"/>
      <c r="G246" s="72">
        <v>14.53</v>
      </c>
      <c r="H246" s="61"/>
    </row>
    <row r="247" spans="1:8" ht="12" customHeight="1">
      <c r="A247" s="45"/>
      <c r="B247" s="45"/>
      <c r="C247" s="45"/>
      <c r="D247" s="176" t="s">
        <v>759</v>
      </c>
      <c r="E247" s="177"/>
      <c r="F247" s="176"/>
      <c r="G247" s="72">
        <v>1.91</v>
      </c>
      <c r="H247" s="61"/>
    </row>
    <row r="248" spans="1:8" ht="12" customHeight="1">
      <c r="A248" s="44" t="s">
        <v>195</v>
      </c>
      <c r="B248" s="44" t="s">
        <v>71</v>
      </c>
      <c r="C248" s="44" t="s">
        <v>274</v>
      </c>
      <c r="D248" s="174" t="s">
        <v>712</v>
      </c>
      <c r="E248" s="175"/>
      <c r="F248" s="174"/>
      <c r="G248" s="71">
        <v>1</v>
      </c>
      <c r="H248" s="54">
        <v>0</v>
      </c>
    </row>
    <row r="249" spans="1:8" ht="12" customHeight="1">
      <c r="A249" s="45" t="s">
        <v>196</v>
      </c>
      <c r="B249" s="45" t="s">
        <v>71</v>
      </c>
      <c r="C249" s="45" t="s">
        <v>275</v>
      </c>
      <c r="D249" s="176" t="s">
        <v>702</v>
      </c>
      <c r="E249" s="177"/>
      <c r="F249" s="176"/>
      <c r="G249" s="72">
        <v>1</v>
      </c>
      <c r="H249" s="55">
        <v>0</v>
      </c>
    </row>
    <row r="250" spans="1:8" ht="12" customHeight="1">
      <c r="A250" s="44" t="s">
        <v>197</v>
      </c>
      <c r="B250" s="44" t="s">
        <v>71</v>
      </c>
      <c r="C250" s="44" t="s">
        <v>276</v>
      </c>
      <c r="D250" s="174" t="s">
        <v>760</v>
      </c>
      <c r="E250" s="175"/>
      <c r="F250" s="174"/>
      <c r="G250" s="71">
        <v>37.8</v>
      </c>
      <c r="H250" s="54">
        <v>0</v>
      </c>
    </row>
    <row r="251" spans="1:8" ht="12" customHeight="1">
      <c r="A251" s="44" t="s">
        <v>198</v>
      </c>
      <c r="B251" s="44" t="s">
        <v>71</v>
      </c>
      <c r="C251" s="44" t="s">
        <v>277</v>
      </c>
      <c r="D251" s="174" t="s">
        <v>761</v>
      </c>
      <c r="E251" s="175"/>
      <c r="F251" s="174"/>
      <c r="G251" s="71">
        <v>1.64</v>
      </c>
      <c r="H251" s="54">
        <v>0</v>
      </c>
    </row>
    <row r="252" spans="1:8" ht="12.75">
      <c r="A252" s="44" t="s">
        <v>199</v>
      </c>
      <c r="B252" s="44" t="s">
        <v>71</v>
      </c>
      <c r="C252" s="44" t="s">
        <v>279</v>
      </c>
      <c r="D252" s="160" t="s">
        <v>447</v>
      </c>
      <c r="E252" s="161"/>
      <c r="F252" s="44" t="s">
        <v>596</v>
      </c>
      <c r="G252" s="54">
        <v>4</v>
      </c>
      <c r="H252" s="54">
        <v>0</v>
      </c>
    </row>
    <row r="253" spans="4:7" ht="12" customHeight="1">
      <c r="D253" s="174" t="s">
        <v>762</v>
      </c>
      <c r="E253" s="175"/>
      <c r="F253" s="175"/>
      <c r="G253" s="71">
        <v>1</v>
      </c>
    </row>
    <row r="254" spans="1:8" ht="12" customHeight="1">
      <c r="A254" s="44"/>
      <c r="B254" s="44"/>
      <c r="C254" s="44"/>
      <c r="D254" s="174" t="s">
        <v>679</v>
      </c>
      <c r="E254" s="175"/>
      <c r="F254" s="174"/>
      <c r="G254" s="71">
        <v>2</v>
      </c>
      <c r="H254" s="60"/>
    </row>
    <row r="255" spans="1:8" ht="12" customHeight="1">
      <c r="A255" s="44"/>
      <c r="B255" s="44"/>
      <c r="C255" s="44"/>
      <c r="D255" s="174" t="s">
        <v>763</v>
      </c>
      <c r="E255" s="175"/>
      <c r="F255" s="174"/>
      <c r="G255" s="71">
        <v>1</v>
      </c>
      <c r="H255" s="60"/>
    </row>
    <row r="256" spans="1:8" ht="12" customHeight="1">
      <c r="A256" s="45" t="s">
        <v>200</v>
      </c>
      <c r="B256" s="45" t="s">
        <v>71</v>
      </c>
      <c r="C256" s="45" t="s">
        <v>280</v>
      </c>
      <c r="D256" s="176" t="s">
        <v>717</v>
      </c>
      <c r="E256" s="177"/>
      <c r="F256" s="176"/>
      <c r="G256" s="72">
        <v>4</v>
      </c>
      <c r="H256" s="55">
        <v>0</v>
      </c>
    </row>
    <row r="257" spans="1:8" ht="12" customHeight="1">
      <c r="A257" s="44" t="s">
        <v>201</v>
      </c>
      <c r="B257" s="44" t="s">
        <v>71</v>
      </c>
      <c r="C257" s="44" t="s">
        <v>281</v>
      </c>
      <c r="D257" s="174" t="s">
        <v>764</v>
      </c>
      <c r="E257" s="175"/>
      <c r="F257" s="174"/>
      <c r="G257" s="71">
        <v>0.02</v>
      </c>
      <c r="H257" s="54">
        <v>0</v>
      </c>
    </row>
    <row r="258" spans="1:8" ht="12" customHeight="1">
      <c r="A258" s="44" t="s">
        <v>202</v>
      </c>
      <c r="B258" s="44" t="s">
        <v>71</v>
      </c>
      <c r="C258" s="44" t="s">
        <v>283</v>
      </c>
      <c r="D258" s="174" t="s">
        <v>765</v>
      </c>
      <c r="E258" s="175"/>
      <c r="F258" s="174"/>
      <c r="G258" s="71">
        <v>52.55</v>
      </c>
      <c r="H258" s="54">
        <v>0</v>
      </c>
    </row>
    <row r="259" spans="1:8" ht="12" customHeight="1">
      <c r="A259" s="45" t="s">
        <v>203</v>
      </c>
      <c r="B259" s="45" t="s">
        <v>71</v>
      </c>
      <c r="C259" s="45" t="s">
        <v>284</v>
      </c>
      <c r="D259" s="176" t="s">
        <v>766</v>
      </c>
      <c r="E259" s="177"/>
      <c r="F259" s="176"/>
      <c r="G259" s="72">
        <v>55.18</v>
      </c>
      <c r="H259" s="55">
        <v>0</v>
      </c>
    </row>
    <row r="260" spans="1:8" ht="12.75">
      <c r="A260" s="44" t="s">
        <v>204</v>
      </c>
      <c r="B260" s="44" t="s">
        <v>71</v>
      </c>
      <c r="C260" s="44" t="s">
        <v>285</v>
      </c>
      <c r="D260" s="160" t="s">
        <v>453</v>
      </c>
      <c r="E260" s="161"/>
      <c r="F260" s="44" t="s">
        <v>593</v>
      </c>
      <c r="G260" s="54">
        <v>63.5</v>
      </c>
      <c r="H260" s="54">
        <v>0</v>
      </c>
    </row>
    <row r="261" spans="4:7" ht="12" customHeight="1">
      <c r="D261" s="174" t="s">
        <v>767</v>
      </c>
      <c r="E261" s="175"/>
      <c r="F261" s="175"/>
      <c r="G261" s="71">
        <v>19.9</v>
      </c>
    </row>
    <row r="262" spans="1:8" ht="12" customHeight="1">
      <c r="A262" s="44"/>
      <c r="B262" s="44"/>
      <c r="C262" s="44"/>
      <c r="D262" s="174" t="s">
        <v>768</v>
      </c>
      <c r="E262" s="175"/>
      <c r="F262" s="174"/>
      <c r="G262" s="71">
        <v>21.8</v>
      </c>
      <c r="H262" s="60"/>
    </row>
    <row r="263" spans="1:8" ht="12" customHeight="1">
      <c r="A263" s="44"/>
      <c r="B263" s="44"/>
      <c r="C263" s="44"/>
      <c r="D263" s="174" t="s">
        <v>769</v>
      </c>
      <c r="E263" s="175"/>
      <c r="F263" s="174"/>
      <c r="G263" s="71">
        <v>21.8</v>
      </c>
      <c r="H263" s="60"/>
    </row>
    <row r="264" spans="1:8" ht="12" customHeight="1">
      <c r="A264" s="44" t="s">
        <v>205</v>
      </c>
      <c r="B264" s="44" t="s">
        <v>71</v>
      </c>
      <c r="C264" s="44" t="s">
        <v>286</v>
      </c>
      <c r="D264" s="174" t="s">
        <v>770</v>
      </c>
      <c r="E264" s="175"/>
      <c r="F264" s="174"/>
      <c r="G264" s="71">
        <v>13.8</v>
      </c>
      <c r="H264" s="54">
        <v>0</v>
      </c>
    </row>
    <row r="265" spans="1:8" ht="12" customHeight="1">
      <c r="A265" s="44" t="s">
        <v>206</v>
      </c>
      <c r="B265" s="44" t="s">
        <v>71</v>
      </c>
      <c r="C265" s="44" t="s">
        <v>287</v>
      </c>
      <c r="D265" s="174" t="s">
        <v>771</v>
      </c>
      <c r="E265" s="175"/>
      <c r="F265" s="174"/>
      <c r="G265" s="71">
        <v>13.8</v>
      </c>
      <c r="H265" s="54">
        <v>0</v>
      </c>
    </row>
    <row r="266" spans="1:8" ht="12" customHeight="1">
      <c r="A266" s="44" t="s">
        <v>207</v>
      </c>
      <c r="B266" s="44" t="s">
        <v>71</v>
      </c>
      <c r="C266" s="44" t="s">
        <v>288</v>
      </c>
      <c r="D266" s="174" t="s">
        <v>772</v>
      </c>
      <c r="E266" s="175"/>
      <c r="F266" s="174"/>
      <c r="G266" s="71">
        <v>1.44</v>
      </c>
      <c r="H266" s="54">
        <v>0</v>
      </c>
    </row>
    <row r="267" spans="1:8" ht="12" customHeight="1">
      <c r="A267" s="44" t="s">
        <v>208</v>
      </c>
      <c r="B267" s="44" t="s">
        <v>71</v>
      </c>
      <c r="C267" s="44" t="s">
        <v>290</v>
      </c>
      <c r="D267" s="174" t="s">
        <v>773</v>
      </c>
      <c r="E267" s="175"/>
      <c r="F267" s="174"/>
      <c r="G267" s="71">
        <v>15</v>
      </c>
      <c r="H267" s="54">
        <v>0</v>
      </c>
    </row>
    <row r="268" spans="1:8" ht="12" customHeight="1">
      <c r="A268" s="44" t="s">
        <v>209</v>
      </c>
      <c r="B268" s="44" t="s">
        <v>71</v>
      </c>
      <c r="C268" s="44" t="s">
        <v>291</v>
      </c>
      <c r="D268" s="174" t="s">
        <v>774</v>
      </c>
      <c r="E268" s="175"/>
      <c r="F268" s="174"/>
      <c r="G268" s="71">
        <v>0.01</v>
      </c>
      <c r="H268" s="54">
        <v>0</v>
      </c>
    </row>
    <row r="269" spans="1:8" ht="12.75">
      <c r="A269" s="44" t="s">
        <v>210</v>
      </c>
      <c r="B269" s="44" t="s">
        <v>71</v>
      </c>
      <c r="C269" s="44" t="s">
        <v>293</v>
      </c>
      <c r="D269" s="160" t="s">
        <v>462</v>
      </c>
      <c r="E269" s="161"/>
      <c r="F269" s="44" t="s">
        <v>595</v>
      </c>
      <c r="G269" s="54">
        <v>103.05</v>
      </c>
      <c r="H269" s="54">
        <v>0</v>
      </c>
    </row>
    <row r="270" spans="4:7" ht="12" customHeight="1">
      <c r="D270" s="174" t="s">
        <v>775</v>
      </c>
      <c r="E270" s="175"/>
      <c r="F270" s="175"/>
      <c r="G270" s="71">
        <v>11.66</v>
      </c>
    </row>
    <row r="271" spans="1:8" ht="12" customHeight="1">
      <c r="A271" s="44"/>
      <c r="B271" s="44"/>
      <c r="C271" s="44"/>
      <c r="D271" s="174" t="s">
        <v>776</v>
      </c>
      <c r="E271" s="175"/>
      <c r="F271" s="174"/>
      <c r="G271" s="71">
        <v>0.65</v>
      </c>
      <c r="H271" s="60"/>
    </row>
    <row r="272" spans="1:8" ht="12" customHeight="1">
      <c r="A272" s="44"/>
      <c r="B272" s="44"/>
      <c r="C272" s="44"/>
      <c r="D272" s="174" t="s">
        <v>777</v>
      </c>
      <c r="E272" s="175"/>
      <c r="F272" s="174"/>
      <c r="G272" s="71">
        <v>1.02</v>
      </c>
      <c r="H272" s="60"/>
    </row>
    <row r="273" spans="1:8" ht="12" customHeight="1">
      <c r="A273" s="44"/>
      <c r="B273" s="44"/>
      <c r="C273" s="44"/>
      <c r="D273" s="174" t="s">
        <v>778</v>
      </c>
      <c r="E273" s="175"/>
      <c r="F273" s="174"/>
      <c r="G273" s="71">
        <v>0.36</v>
      </c>
      <c r="H273" s="60"/>
    </row>
    <row r="274" spans="1:8" ht="12" customHeight="1">
      <c r="A274" s="44"/>
      <c r="B274" s="44"/>
      <c r="C274" s="44"/>
      <c r="D274" s="174" t="s">
        <v>779</v>
      </c>
      <c r="E274" s="175"/>
      <c r="F274" s="174"/>
      <c r="G274" s="71">
        <v>5.18</v>
      </c>
      <c r="H274" s="60"/>
    </row>
    <row r="275" spans="1:8" ht="12" customHeight="1">
      <c r="A275" s="44"/>
      <c r="B275" s="44"/>
      <c r="C275" s="44"/>
      <c r="D275" s="174" t="s">
        <v>780</v>
      </c>
      <c r="E275" s="175"/>
      <c r="F275" s="174"/>
      <c r="G275" s="71">
        <v>0.49</v>
      </c>
      <c r="H275" s="60"/>
    </row>
    <row r="276" spans="1:8" ht="12" customHeight="1">
      <c r="A276" s="44"/>
      <c r="B276" s="44"/>
      <c r="C276" s="44"/>
      <c r="D276" s="174" t="s">
        <v>781</v>
      </c>
      <c r="E276" s="175"/>
      <c r="F276" s="174"/>
      <c r="G276" s="71">
        <v>62.91</v>
      </c>
      <c r="H276" s="60"/>
    </row>
    <row r="277" spans="1:8" ht="12" customHeight="1">
      <c r="A277" s="44"/>
      <c r="B277" s="44"/>
      <c r="C277" s="44"/>
      <c r="D277" s="174" t="s">
        <v>782</v>
      </c>
      <c r="E277" s="175"/>
      <c r="F277" s="174"/>
      <c r="G277" s="71">
        <v>18.68</v>
      </c>
      <c r="H277" s="60"/>
    </row>
    <row r="278" spans="1:8" ht="12" customHeight="1">
      <c r="A278" s="44"/>
      <c r="B278" s="44"/>
      <c r="C278" s="44"/>
      <c r="D278" s="174" t="s">
        <v>783</v>
      </c>
      <c r="E278" s="175"/>
      <c r="F278" s="174"/>
      <c r="G278" s="71">
        <v>2.1</v>
      </c>
      <c r="H278" s="60"/>
    </row>
    <row r="279" spans="1:8" ht="12.75">
      <c r="A279" s="45" t="s">
        <v>211</v>
      </c>
      <c r="B279" s="45" t="s">
        <v>71</v>
      </c>
      <c r="C279" s="45" t="s">
        <v>294</v>
      </c>
      <c r="D279" s="162" t="s">
        <v>464</v>
      </c>
      <c r="E279" s="163"/>
      <c r="F279" s="45" t="s">
        <v>595</v>
      </c>
      <c r="G279" s="55">
        <v>108.2</v>
      </c>
      <c r="H279" s="55">
        <v>0</v>
      </c>
    </row>
    <row r="280" spans="4:7" ht="12" customHeight="1">
      <c r="D280" s="176" t="s">
        <v>784</v>
      </c>
      <c r="E280" s="177"/>
      <c r="F280" s="177"/>
      <c r="G280" s="72">
        <v>103.05</v>
      </c>
    </row>
    <row r="281" spans="1:8" ht="12" customHeight="1">
      <c r="A281" s="45"/>
      <c r="B281" s="45"/>
      <c r="C281" s="45"/>
      <c r="D281" s="176" t="s">
        <v>785</v>
      </c>
      <c r="E281" s="177"/>
      <c r="F281" s="176"/>
      <c r="G281" s="72">
        <v>5.15</v>
      </c>
      <c r="H281" s="61"/>
    </row>
    <row r="282" spans="1:8" ht="12.75">
      <c r="A282" s="44" t="s">
        <v>212</v>
      </c>
      <c r="B282" s="44" t="s">
        <v>71</v>
      </c>
      <c r="C282" s="44" t="s">
        <v>295</v>
      </c>
      <c r="D282" s="160" t="s">
        <v>465</v>
      </c>
      <c r="E282" s="161"/>
      <c r="F282" s="44" t="s">
        <v>593</v>
      </c>
      <c r="G282" s="54">
        <v>57.6</v>
      </c>
      <c r="H282" s="54">
        <v>0</v>
      </c>
    </row>
    <row r="283" spans="4:7" ht="12" customHeight="1">
      <c r="D283" s="174" t="s">
        <v>786</v>
      </c>
      <c r="E283" s="175"/>
      <c r="F283" s="175"/>
      <c r="G283" s="71">
        <v>21</v>
      </c>
    </row>
    <row r="284" spans="1:8" ht="12" customHeight="1">
      <c r="A284" s="44"/>
      <c r="B284" s="44"/>
      <c r="C284" s="44"/>
      <c r="D284" s="174" t="s">
        <v>787</v>
      </c>
      <c r="E284" s="175"/>
      <c r="F284" s="174"/>
      <c r="G284" s="71">
        <v>12.6</v>
      </c>
      <c r="H284" s="60"/>
    </row>
    <row r="285" spans="1:8" ht="12" customHeight="1">
      <c r="A285" s="44"/>
      <c r="B285" s="44"/>
      <c r="C285" s="44"/>
      <c r="D285" s="174" t="s">
        <v>788</v>
      </c>
      <c r="E285" s="175"/>
      <c r="F285" s="174"/>
      <c r="G285" s="71">
        <v>18</v>
      </c>
      <c r="H285" s="60"/>
    </row>
    <row r="286" spans="1:8" ht="12" customHeight="1">
      <c r="A286" s="44"/>
      <c r="B286" s="44"/>
      <c r="C286" s="44"/>
      <c r="D286" s="174" t="s">
        <v>789</v>
      </c>
      <c r="E286" s="175"/>
      <c r="F286" s="174"/>
      <c r="G286" s="71">
        <v>6</v>
      </c>
      <c r="H286" s="60"/>
    </row>
    <row r="287" spans="1:8" ht="12" customHeight="1">
      <c r="A287" s="44" t="s">
        <v>213</v>
      </c>
      <c r="B287" s="44" t="s">
        <v>71</v>
      </c>
      <c r="C287" s="44" t="s">
        <v>296</v>
      </c>
      <c r="D287" s="174" t="s">
        <v>790</v>
      </c>
      <c r="E287" s="175"/>
      <c r="F287" s="174"/>
      <c r="G287" s="71">
        <v>61</v>
      </c>
      <c r="H287" s="54">
        <v>0</v>
      </c>
    </row>
    <row r="288" spans="1:8" ht="12" customHeight="1">
      <c r="A288" s="44" t="s">
        <v>214</v>
      </c>
      <c r="B288" s="44" t="s">
        <v>71</v>
      </c>
      <c r="C288" s="44" t="s">
        <v>297</v>
      </c>
      <c r="D288" s="174" t="s">
        <v>791</v>
      </c>
      <c r="E288" s="175"/>
      <c r="F288" s="174"/>
      <c r="G288" s="71">
        <v>2.36</v>
      </c>
      <c r="H288" s="54">
        <v>0</v>
      </c>
    </row>
    <row r="289" spans="1:8" ht="12" customHeight="1">
      <c r="A289" s="44" t="s">
        <v>215</v>
      </c>
      <c r="B289" s="44" t="s">
        <v>71</v>
      </c>
      <c r="C289" s="44" t="s">
        <v>299</v>
      </c>
      <c r="D289" s="174" t="s">
        <v>792</v>
      </c>
      <c r="E289" s="175"/>
      <c r="F289" s="174"/>
      <c r="G289" s="71">
        <v>4</v>
      </c>
      <c r="H289" s="54">
        <v>0</v>
      </c>
    </row>
    <row r="290" spans="1:8" ht="12.75">
      <c r="A290" s="44" t="s">
        <v>216</v>
      </c>
      <c r="B290" s="44" t="s">
        <v>71</v>
      </c>
      <c r="C290" s="44" t="s">
        <v>301</v>
      </c>
      <c r="D290" s="160" t="s">
        <v>474</v>
      </c>
      <c r="E290" s="161"/>
      <c r="F290" s="44" t="s">
        <v>595</v>
      </c>
      <c r="G290" s="54">
        <v>52.64</v>
      </c>
      <c r="H290" s="54">
        <v>0</v>
      </c>
    </row>
    <row r="291" spans="4:7" ht="12" customHeight="1">
      <c r="D291" s="174" t="s">
        <v>793</v>
      </c>
      <c r="E291" s="175"/>
      <c r="F291" s="175"/>
      <c r="G291" s="71">
        <v>14.09</v>
      </c>
    </row>
    <row r="292" spans="1:8" ht="12" customHeight="1">
      <c r="A292" s="44"/>
      <c r="B292" s="44"/>
      <c r="C292" s="44"/>
      <c r="D292" s="174" t="s">
        <v>794</v>
      </c>
      <c r="E292" s="175"/>
      <c r="F292" s="174"/>
      <c r="G292" s="71">
        <v>12</v>
      </c>
      <c r="H292" s="60"/>
    </row>
    <row r="293" spans="1:8" ht="12" customHeight="1">
      <c r="A293" s="44"/>
      <c r="B293" s="44"/>
      <c r="C293" s="44"/>
      <c r="D293" s="174" t="s">
        <v>704</v>
      </c>
      <c r="E293" s="175"/>
      <c r="F293" s="174"/>
      <c r="G293" s="71">
        <v>26.55</v>
      </c>
      <c r="H293" s="60"/>
    </row>
    <row r="294" spans="1:8" ht="12.75">
      <c r="A294" s="44" t="s">
        <v>217</v>
      </c>
      <c r="B294" s="44" t="s">
        <v>71</v>
      </c>
      <c r="C294" s="44" t="s">
        <v>302</v>
      </c>
      <c r="D294" s="160" t="s">
        <v>475</v>
      </c>
      <c r="E294" s="161"/>
      <c r="F294" s="44" t="s">
        <v>595</v>
      </c>
      <c r="G294" s="54">
        <v>52.64</v>
      </c>
      <c r="H294" s="54">
        <v>0</v>
      </c>
    </row>
    <row r="295" spans="4:7" ht="12" customHeight="1">
      <c r="D295" s="174" t="s">
        <v>793</v>
      </c>
      <c r="E295" s="175"/>
      <c r="F295" s="175"/>
      <c r="G295" s="71">
        <v>14.09</v>
      </c>
    </row>
    <row r="296" spans="1:8" ht="12" customHeight="1">
      <c r="A296" s="44"/>
      <c r="B296" s="44"/>
      <c r="C296" s="44"/>
      <c r="D296" s="174" t="s">
        <v>794</v>
      </c>
      <c r="E296" s="175"/>
      <c r="F296" s="174"/>
      <c r="G296" s="71">
        <v>12</v>
      </c>
      <c r="H296" s="60"/>
    </row>
    <row r="297" spans="1:8" ht="12" customHeight="1">
      <c r="A297" s="44"/>
      <c r="B297" s="44"/>
      <c r="C297" s="44"/>
      <c r="D297" s="174" t="s">
        <v>704</v>
      </c>
      <c r="E297" s="175"/>
      <c r="F297" s="174"/>
      <c r="G297" s="71">
        <v>26.55</v>
      </c>
      <c r="H297" s="60"/>
    </row>
    <row r="298" spans="1:8" ht="12" customHeight="1">
      <c r="A298" s="44" t="s">
        <v>218</v>
      </c>
      <c r="B298" s="44" t="s">
        <v>73</v>
      </c>
      <c r="C298" s="44" t="s">
        <v>374</v>
      </c>
      <c r="D298" s="174" t="s">
        <v>795</v>
      </c>
      <c r="E298" s="175"/>
      <c r="F298" s="174"/>
      <c r="G298" s="71">
        <v>3</v>
      </c>
      <c r="H298" s="54">
        <v>0</v>
      </c>
    </row>
    <row r="299" spans="1:8" ht="12" customHeight="1">
      <c r="A299" s="44" t="s">
        <v>219</v>
      </c>
      <c r="B299" s="44" t="s">
        <v>71</v>
      </c>
      <c r="C299" s="44" t="s">
        <v>303</v>
      </c>
      <c r="D299" s="174" t="s">
        <v>796</v>
      </c>
      <c r="E299" s="175"/>
      <c r="F299" s="174"/>
      <c r="G299" s="71">
        <v>10</v>
      </c>
      <c r="H299" s="54">
        <v>0</v>
      </c>
    </row>
    <row r="300" spans="1:8" ht="12.75">
      <c r="A300" s="44" t="s">
        <v>220</v>
      </c>
      <c r="B300" s="44" t="s">
        <v>72</v>
      </c>
      <c r="C300" s="44" t="s">
        <v>359</v>
      </c>
      <c r="D300" s="160" t="s">
        <v>541</v>
      </c>
      <c r="E300" s="161"/>
      <c r="F300" s="44" t="s">
        <v>597</v>
      </c>
      <c r="G300" s="54">
        <v>12</v>
      </c>
      <c r="H300" s="54">
        <v>0</v>
      </c>
    </row>
    <row r="301" spans="4:7" ht="12" customHeight="1">
      <c r="D301" s="174" t="s">
        <v>717</v>
      </c>
      <c r="E301" s="175"/>
      <c r="F301" s="175"/>
      <c r="G301" s="71">
        <v>4</v>
      </c>
    </row>
    <row r="302" spans="1:8" ht="12" customHeight="1">
      <c r="A302" s="44"/>
      <c r="B302" s="44"/>
      <c r="C302" s="44"/>
      <c r="D302" s="174" t="s">
        <v>717</v>
      </c>
      <c r="E302" s="175"/>
      <c r="F302" s="174"/>
      <c r="G302" s="71">
        <v>4</v>
      </c>
      <c r="H302" s="60"/>
    </row>
    <row r="303" spans="1:8" ht="12" customHeight="1">
      <c r="A303" s="44"/>
      <c r="B303" s="44"/>
      <c r="C303" s="44"/>
      <c r="D303" s="174" t="s">
        <v>717</v>
      </c>
      <c r="E303" s="175"/>
      <c r="F303" s="174"/>
      <c r="G303" s="71">
        <v>4</v>
      </c>
      <c r="H303" s="60"/>
    </row>
    <row r="304" spans="1:8" ht="12" customHeight="1">
      <c r="A304" s="44" t="s">
        <v>221</v>
      </c>
      <c r="B304" s="44" t="s">
        <v>72</v>
      </c>
      <c r="C304" s="44" t="s">
        <v>360</v>
      </c>
      <c r="D304" s="174" t="s">
        <v>797</v>
      </c>
      <c r="E304" s="175"/>
      <c r="F304" s="174"/>
      <c r="G304" s="71">
        <v>12</v>
      </c>
      <c r="H304" s="54">
        <v>0</v>
      </c>
    </row>
    <row r="305" spans="1:8" ht="12" customHeight="1">
      <c r="A305" s="44" t="s">
        <v>222</v>
      </c>
      <c r="B305" s="44" t="s">
        <v>73</v>
      </c>
      <c r="C305" s="44" t="s">
        <v>360</v>
      </c>
      <c r="D305" s="174" t="s">
        <v>798</v>
      </c>
      <c r="E305" s="175"/>
      <c r="F305" s="174"/>
      <c r="G305" s="71">
        <v>12</v>
      </c>
      <c r="H305" s="54">
        <v>0</v>
      </c>
    </row>
    <row r="306" spans="1:8" ht="12" customHeight="1">
      <c r="A306" s="44" t="s">
        <v>223</v>
      </c>
      <c r="B306" s="44" t="s">
        <v>71</v>
      </c>
      <c r="C306" s="44" t="s">
        <v>304</v>
      </c>
      <c r="D306" s="174" t="s">
        <v>799</v>
      </c>
      <c r="E306" s="175"/>
      <c r="F306" s="174"/>
      <c r="G306" s="71">
        <v>74.69</v>
      </c>
      <c r="H306" s="54">
        <v>0</v>
      </c>
    </row>
    <row r="307" spans="1:8" ht="12" customHeight="1">
      <c r="A307" s="44" t="s">
        <v>224</v>
      </c>
      <c r="B307" s="44" t="s">
        <v>71</v>
      </c>
      <c r="C307" s="44" t="s">
        <v>305</v>
      </c>
      <c r="D307" s="174" t="s">
        <v>800</v>
      </c>
      <c r="E307" s="175"/>
      <c r="F307" s="174"/>
      <c r="G307" s="71">
        <v>0.23</v>
      </c>
      <c r="H307" s="54">
        <v>0</v>
      </c>
    </row>
    <row r="308" spans="1:8" ht="12" customHeight="1">
      <c r="A308" s="44" t="s">
        <v>225</v>
      </c>
      <c r="B308" s="44" t="s">
        <v>71</v>
      </c>
      <c r="C308" s="44" t="s">
        <v>306</v>
      </c>
      <c r="D308" s="174" t="s">
        <v>801</v>
      </c>
      <c r="E308" s="175"/>
      <c r="F308" s="174"/>
      <c r="G308" s="71">
        <v>120</v>
      </c>
      <c r="H308" s="54">
        <v>0</v>
      </c>
    </row>
    <row r="309" spans="1:8" ht="12.75">
      <c r="A309" s="44" t="s">
        <v>226</v>
      </c>
      <c r="B309" s="44" t="s">
        <v>71</v>
      </c>
      <c r="C309" s="44" t="s">
        <v>307</v>
      </c>
      <c r="D309" s="160" t="s">
        <v>484</v>
      </c>
      <c r="E309" s="161"/>
      <c r="F309" s="44" t="s">
        <v>595</v>
      </c>
      <c r="G309" s="54">
        <v>34.33</v>
      </c>
      <c r="H309" s="54">
        <v>0</v>
      </c>
    </row>
    <row r="310" spans="4:7" ht="12" customHeight="1">
      <c r="D310" s="174" t="s">
        <v>802</v>
      </c>
      <c r="E310" s="175"/>
      <c r="F310" s="175"/>
      <c r="G310" s="71">
        <v>11.27</v>
      </c>
    </row>
    <row r="311" spans="1:8" ht="12" customHeight="1">
      <c r="A311" s="44"/>
      <c r="B311" s="44"/>
      <c r="C311" s="44"/>
      <c r="D311" s="174" t="s">
        <v>803</v>
      </c>
      <c r="E311" s="175"/>
      <c r="F311" s="174"/>
      <c r="G311" s="71">
        <v>10.62</v>
      </c>
      <c r="H311" s="60"/>
    </row>
    <row r="312" spans="1:8" ht="12" customHeight="1">
      <c r="A312" s="44"/>
      <c r="B312" s="44"/>
      <c r="C312" s="44"/>
      <c r="D312" s="174" t="s">
        <v>804</v>
      </c>
      <c r="E312" s="175"/>
      <c r="F312" s="174"/>
      <c r="G312" s="71">
        <v>4.32</v>
      </c>
      <c r="H312" s="60"/>
    </row>
    <row r="313" spans="1:8" ht="12" customHeight="1">
      <c r="A313" s="44"/>
      <c r="B313" s="44"/>
      <c r="C313" s="44"/>
      <c r="D313" s="174" t="s">
        <v>805</v>
      </c>
      <c r="E313" s="175"/>
      <c r="F313" s="174"/>
      <c r="G313" s="71">
        <v>6.84</v>
      </c>
      <c r="H313" s="60"/>
    </row>
    <row r="314" spans="1:8" ht="12" customHeight="1">
      <c r="A314" s="44"/>
      <c r="B314" s="44"/>
      <c r="C314" s="44"/>
      <c r="D314" s="174" t="s">
        <v>806</v>
      </c>
      <c r="E314" s="175"/>
      <c r="F314" s="174"/>
      <c r="G314" s="71">
        <v>1.28</v>
      </c>
      <c r="H314" s="60"/>
    </row>
    <row r="315" spans="1:8" ht="12" customHeight="1">
      <c r="A315" s="44" t="s">
        <v>227</v>
      </c>
      <c r="B315" s="44" t="s">
        <v>71</v>
      </c>
      <c r="C315" s="44" t="s">
        <v>308</v>
      </c>
      <c r="D315" s="174" t="s">
        <v>807</v>
      </c>
      <c r="E315" s="175"/>
      <c r="F315" s="174"/>
      <c r="G315" s="71">
        <v>53.52</v>
      </c>
      <c r="H315" s="54">
        <v>0</v>
      </c>
    </row>
    <row r="316" spans="1:8" ht="12" customHeight="1">
      <c r="A316" s="44" t="s">
        <v>228</v>
      </c>
      <c r="B316" s="44" t="s">
        <v>71</v>
      </c>
      <c r="C316" s="44" t="s">
        <v>309</v>
      </c>
      <c r="D316" s="174" t="s">
        <v>808</v>
      </c>
      <c r="E316" s="175"/>
      <c r="F316" s="174"/>
      <c r="G316" s="71">
        <v>53.52</v>
      </c>
      <c r="H316" s="54">
        <v>0</v>
      </c>
    </row>
    <row r="317" spans="1:8" ht="12" customHeight="1">
      <c r="A317" s="44" t="s">
        <v>229</v>
      </c>
      <c r="B317" s="44" t="s">
        <v>71</v>
      </c>
      <c r="C317" s="44" t="s">
        <v>310</v>
      </c>
      <c r="D317" s="174" t="s">
        <v>809</v>
      </c>
      <c r="E317" s="175"/>
      <c r="F317" s="174"/>
      <c r="G317" s="71">
        <v>37.8</v>
      </c>
      <c r="H317" s="54">
        <v>0</v>
      </c>
    </row>
    <row r="318" spans="1:8" ht="12" customHeight="1">
      <c r="A318" s="44" t="s">
        <v>230</v>
      </c>
      <c r="B318" s="44" t="s">
        <v>71</v>
      </c>
      <c r="C318" s="44" t="s">
        <v>311</v>
      </c>
      <c r="D318" s="174" t="s">
        <v>712</v>
      </c>
      <c r="E318" s="175"/>
      <c r="F318" s="174"/>
      <c r="G318" s="71">
        <v>1</v>
      </c>
      <c r="H318" s="54">
        <v>0</v>
      </c>
    </row>
    <row r="319" spans="1:8" ht="12" customHeight="1">
      <c r="A319" s="44" t="s">
        <v>231</v>
      </c>
      <c r="B319" s="44" t="s">
        <v>71</v>
      </c>
      <c r="C319" s="44" t="s">
        <v>312</v>
      </c>
      <c r="D319" s="174" t="s">
        <v>810</v>
      </c>
      <c r="E319" s="175"/>
      <c r="F319" s="174"/>
      <c r="G319" s="71">
        <v>7.88</v>
      </c>
      <c r="H319" s="54">
        <v>0</v>
      </c>
    </row>
    <row r="320" spans="1:8" ht="12.75">
      <c r="A320" s="44" t="s">
        <v>232</v>
      </c>
      <c r="B320" s="44" t="s">
        <v>71</v>
      </c>
      <c r="C320" s="44" t="s">
        <v>313</v>
      </c>
      <c r="D320" s="160" t="s">
        <v>492</v>
      </c>
      <c r="E320" s="161"/>
      <c r="F320" s="44" t="s">
        <v>593</v>
      </c>
      <c r="G320" s="54">
        <v>18</v>
      </c>
      <c r="H320" s="54">
        <v>0</v>
      </c>
    </row>
    <row r="321" spans="4:7" ht="12" customHeight="1">
      <c r="D321" s="174" t="s">
        <v>811</v>
      </c>
      <c r="E321" s="175"/>
      <c r="F321" s="175"/>
      <c r="G321" s="71">
        <v>9</v>
      </c>
    </row>
    <row r="322" spans="1:8" ht="12" customHeight="1">
      <c r="A322" s="44"/>
      <c r="B322" s="44"/>
      <c r="C322" s="44"/>
      <c r="D322" s="174" t="s">
        <v>812</v>
      </c>
      <c r="E322" s="175"/>
      <c r="F322" s="174"/>
      <c r="G322" s="71">
        <v>6</v>
      </c>
      <c r="H322" s="60"/>
    </row>
    <row r="323" spans="1:8" ht="12" customHeight="1">
      <c r="A323" s="44"/>
      <c r="B323" s="44"/>
      <c r="C323" s="44"/>
      <c r="D323" s="174" t="s">
        <v>813</v>
      </c>
      <c r="E323" s="175"/>
      <c r="F323" s="174"/>
      <c r="G323" s="71">
        <v>3</v>
      </c>
      <c r="H323" s="60"/>
    </row>
    <row r="324" spans="1:8" ht="12" customHeight="1">
      <c r="A324" s="44" t="s">
        <v>233</v>
      </c>
      <c r="B324" s="44" t="s">
        <v>71</v>
      </c>
      <c r="C324" s="44" t="s">
        <v>314</v>
      </c>
      <c r="D324" s="174" t="s">
        <v>814</v>
      </c>
      <c r="E324" s="175"/>
      <c r="F324" s="174"/>
      <c r="G324" s="71">
        <v>2.4</v>
      </c>
      <c r="H324" s="54">
        <v>0</v>
      </c>
    </row>
    <row r="325" spans="1:8" ht="12" customHeight="1">
      <c r="A325" s="44" t="s">
        <v>234</v>
      </c>
      <c r="B325" s="44" t="s">
        <v>71</v>
      </c>
      <c r="C325" s="44" t="s">
        <v>315</v>
      </c>
      <c r="D325" s="174" t="s">
        <v>815</v>
      </c>
      <c r="E325" s="175"/>
      <c r="F325" s="174"/>
      <c r="G325" s="71">
        <v>9</v>
      </c>
      <c r="H325" s="54">
        <v>0</v>
      </c>
    </row>
    <row r="326" spans="1:8" ht="12" customHeight="1">
      <c r="A326" s="44" t="s">
        <v>235</v>
      </c>
      <c r="B326" s="44" t="s">
        <v>71</v>
      </c>
      <c r="C326" s="44" t="s">
        <v>316</v>
      </c>
      <c r="D326" s="174" t="s">
        <v>816</v>
      </c>
      <c r="E326" s="175"/>
      <c r="F326" s="174"/>
      <c r="G326" s="71">
        <v>1.3</v>
      </c>
      <c r="H326" s="54">
        <v>0</v>
      </c>
    </row>
    <row r="327" spans="1:8" ht="12.75">
      <c r="A327" s="44" t="s">
        <v>236</v>
      </c>
      <c r="B327" s="44" t="s">
        <v>71</v>
      </c>
      <c r="C327" s="44" t="s">
        <v>317</v>
      </c>
      <c r="D327" s="160" t="s">
        <v>497</v>
      </c>
      <c r="E327" s="161"/>
      <c r="F327" s="44" t="s">
        <v>595</v>
      </c>
      <c r="G327" s="54">
        <v>78.04</v>
      </c>
      <c r="H327" s="54">
        <v>0</v>
      </c>
    </row>
    <row r="328" spans="4:7" ht="12" customHeight="1">
      <c r="D328" s="174" t="s">
        <v>817</v>
      </c>
      <c r="E328" s="175"/>
      <c r="F328" s="175"/>
      <c r="G328" s="71">
        <v>8.45</v>
      </c>
    </row>
    <row r="329" spans="1:8" ht="12" customHeight="1">
      <c r="A329" s="44"/>
      <c r="B329" s="44"/>
      <c r="C329" s="44"/>
      <c r="D329" s="174" t="s">
        <v>818</v>
      </c>
      <c r="E329" s="175"/>
      <c r="F329" s="174"/>
      <c r="G329" s="71">
        <v>16.9</v>
      </c>
      <c r="H329" s="60"/>
    </row>
    <row r="330" spans="1:8" ht="12" customHeight="1">
      <c r="A330" s="44"/>
      <c r="B330" s="44"/>
      <c r="C330" s="44"/>
      <c r="D330" s="174" t="s">
        <v>819</v>
      </c>
      <c r="E330" s="175"/>
      <c r="F330" s="174"/>
      <c r="G330" s="71">
        <v>16.9</v>
      </c>
      <c r="H330" s="60"/>
    </row>
    <row r="331" spans="1:8" ht="12" customHeight="1">
      <c r="A331" s="44"/>
      <c r="B331" s="44"/>
      <c r="C331" s="44"/>
      <c r="D331" s="174" t="s">
        <v>820</v>
      </c>
      <c r="E331" s="175"/>
      <c r="F331" s="174"/>
      <c r="G331" s="71">
        <v>47.79</v>
      </c>
      <c r="H331" s="60"/>
    </row>
    <row r="332" spans="1:8" ht="12" customHeight="1">
      <c r="A332" s="44"/>
      <c r="B332" s="44"/>
      <c r="C332" s="44"/>
      <c r="D332" s="174" t="s">
        <v>821</v>
      </c>
      <c r="E332" s="175"/>
      <c r="F332" s="174"/>
      <c r="G332" s="71">
        <v>-12</v>
      </c>
      <c r="H332" s="60"/>
    </row>
    <row r="333" spans="1:8" ht="12" customHeight="1">
      <c r="A333" s="44" t="s">
        <v>237</v>
      </c>
      <c r="B333" s="44" t="s">
        <v>71</v>
      </c>
      <c r="C333" s="44" t="s">
        <v>318</v>
      </c>
      <c r="D333" s="174" t="s">
        <v>822</v>
      </c>
      <c r="E333" s="175"/>
      <c r="F333" s="174"/>
      <c r="G333" s="71">
        <v>3</v>
      </c>
      <c r="H333" s="54">
        <v>0</v>
      </c>
    </row>
    <row r="334" spans="1:8" ht="12" customHeight="1">
      <c r="A334" s="44" t="s">
        <v>238</v>
      </c>
      <c r="B334" s="44" t="s">
        <v>71</v>
      </c>
      <c r="C334" s="44" t="s">
        <v>319</v>
      </c>
      <c r="D334" s="174" t="s">
        <v>724</v>
      </c>
      <c r="E334" s="175"/>
      <c r="F334" s="174"/>
      <c r="G334" s="71">
        <v>18</v>
      </c>
      <c r="H334" s="54">
        <v>0</v>
      </c>
    </row>
    <row r="335" spans="1:8" ht="12.75">
      <c r="A335" s="44" t="s">
        <v>239</v>
      </c>
      <c r="B335" s="44" t="s">
        <v>71</v>
      </c>
      <c r="C335" s="44" t="s">
        <v>321</v>
      </c>
      <c r="D335" s="160" t="s">
        <v>501</v>
      </c>
      <c r="E335" s="161"/>
      <c r="F335" s="44" t="s">
        <v>592</v>
      </c>
      <c r="G335" s="54">
        <v>28.63</v>
      </c>
      <c r="H335" s="54">
        <v>0</v>
      </c>
    </row>
    <row r="336" spans="4:7" ht="12" customHeight="1">
      <c r="D336" s="174" t="s">
        <v>823</v>
      </c>
      <c r="E336" s="175"/>
      <c r="F336" s="175"/>
      <c r="G336" s="71">
        <v>26.52</v>
      </c>
    </row>
    <row r="337" spans="1:8" ht="12" customHeight="1">
      <c r="A337" s="44"/>
      <c r="B337" s="44"/>
      <c r="C337" s="44"/>
      <c r="D337" s="174" t="s">
        <v>824</v>
      </c>
      <c r="E337" s="175"/>
      <c r="F337" s="174"/>
      <c r="G337" s="71">
        <v>2.11</v>
      </c>
      <c r="H337" s="60"/>
    </row>
    <row r="338" spans="1:8" ht="12" customHeight="1">
      <c r="A338" s="44" t="s">
        <v>240</v>
      </c>
      <c r="B338" s="44" t="s">
        <v>71</v>
      </c>
      <c r="C338" s="44" t="s">
        <v>322</v>
      </c>
      <c r="D338" s="174" t="s">
        <v>825</v>
      </c>
      <c r="E338" s="175"/>
      <c r="F338" s="174"/>
      <c r="G338" s="71">
        <v>28.63</v>
      </c>
      <c r="H338" s="54">
        <v>0</v>
      </c>
    </row>
    <row r="339" spans="1:8" ht="12" customHeight="1">
      <c r="A339" s="44" t="s">
        <v>241</v>
      </c>
      <c r="B339" s="44" t="s">
        <v>71</v>
      </c>
      <c r="C339" s="44" t="s">
        <v>323</v>
      </c>
      <c r="D339" s="174" t="s">
        <v>825</v>
      </c>
      <c r="E339" s="175"/>
      <c r="F339" s="174"/>
      <c r="G339" s="71">
        <v>28.63</v>
      </c>
      <c r="H339" s="54">
        <v>0</v>
      </c>
    </row>
    <row r="340" spans="1:8" ht="12.75">
      <c r="A340" s="44" t="s">
        <v>242</v>
      </c>
      <c r="B340" s="44" t="s">
        <v>75</v>
      </c>
      <c r="C340" s="44" t="s">
        <v>399</v>
      </c>
      <c r="D340" s="160" t="s">
        <v>585</v>
      </c>
      <c r="E340" s="161"/>
      <c r="F340" s="44" t="s">
        <v>598</v>
      </c>
      <c r="G340" s="54">
        <v>3</v>
      </c>
      <c r="H340" s="54">
        <v>0</v>
      </c>
    </row>
    <row r="341" spans="4:7" ht="12" customHeight="1">
      <c r="D341" s="174" t="s">
        <v>826</v>
      </c>
      <c r="E341" s="175"/>
      <c r="F341" s="175"/>
      <c r="G341" s="71">
        <v>3</v>
      </c>
    </row>
    <row r="342" spans="1:8" ht="12" customHeight="1">
      <c r="A342" s="44"/>
      <c r="B342" s="44"/>
      <c r="C342" s="44"/>
      <c r="D342" s="174" t="s">
        <v>827</v>
      </c>
      <c r="E342" s="175"/>
      <c r="F342" s="174"/>
      <c r="G342" s="71">
        <v>0</v>
      </c>
      <c r="H342" s="60"/>
    </row>
    <row r="343" spans="1:8" ht="12.75">
      <c r="A343" s="44" t="s">
        <v>243</v>
      </c>
      <c r="B343" s="44" t="s">
        <v>73</v>
      </c>
      <c r="C343" s="44" t="s">
        <v>376</v>
      </c>
      <c r="D343" s="160" t="s">
        <v>559</v>
      </c>
      <c r="E343" s="161"/>
      <c r="F343" s="44" t="s">
        <v>594</v>
      </c>
      <c r="G343" s="54">
        <v>3</v>
      </c>
      <c r="H343" s="54">
        <v>0</v>
      </c>
    </row>
    <row r="344" spans="4:7" ht="12" customHeight="1">
      <c r="D344" s="174" t="s">
        <v>712</v>
      </c>
      <c r="E344" s="175"/>
      <c r="F344" s="175"/>
      <c r="G344" s="71">
        <v>1</v>
      </c>
    </row>
    <row r="345" spans="1:8" ht="12" customHeight="1">
      <c r="A345" s="44"/>
      <c r="B345" s="44"/>
      <c r="C345" s="44"/>
      <c r="D345" s="174" t="s">
        <v>712</v>
      </c>
      <c r="E345" s="175"/>
      <c r="F345" s="174"/>
      <c r="G345" s="71">
        <v>1</v>
      </c>
      <c r="H345" s="60"/>
    </row>
    <row r="346" spans="1:8" ht="12" customHeight="1">
      <c r="A346" s="44"/>
      <c r="B346" s="44"/>
      <c r="C346" s="44"/>
      <c r="D346" s="174" t="s">
        <v>712</v>
      </c>
      <c r="E346" s="175"/>
      <c r="F346" s="174"/>
      <c r="G346" s="71">
        <v>1</v>
      </c>
      <c r="H346" s="60"/>
    </row>
    <row r="347" spans="1:8" ht="12" customHeight="1">
      <c r="A347" s="44" t="s">
        <v>244</v>
      </c>
      <c r="B347" s="44" t="s">
        <v>71</v>
      </c>
      <c r="C347" s="44" t="s">
        <v>325</v>
      </c>
      <c r="D347" s="174" t="s">
        <v>825</v>
      </c>
      <c r="E347" s="175"/>
      <c r="F347" s="174"/>
      <c r="G347" s="71">
        <v>28.63</v>
      </c>
      <c r="H347" s="54">
        <v>0</v>
      </c>
    </row>
    <row r="348" spans="1:8" ht="12" customHeight="1">
      <c r="A348" s="44" t="s">
        <v>245</v>
      </c>
      <c r="B348" s="44" t="s">
        <v>71</v>
      </c>
      <c r="C348" s="44" t="s">
        <v>326</v>
      </c>
      <c r="D348" s="174" t="s">
        <v>825</v>
      </c>
      <c r="E348" s="175"/>
      <c r="F348" s="174"/>
      <c r="G348" s="71">
        <v>28.63</v>
      </c>
      <c r="H348" s="54">
        <v>0</v>
      </c>
    </row>
    <row r="349" spans="1:8" ht="12" customHeight="1">
      <c r="A349" s="45" t="s">
        <v>246</v>
      </c>
      <c r="B349" s="45" t="s">
        <v>71</v>
      </c>
      <c r="C349" s="45" t="s">
        <v>327</v>
      </c>
      <c r="D349" s="176" t="s">
        <v>756</v>
      </c>
      <c r="E349" s="177"/>
      <c r="F349" s="176"/>
      <c r="G349" s="72">
        <v>3</v>
      </c>
      <c r="H349" s="55">
        <v>0</v>
      </c>
    </row>
    <row r="350" spans="1:8" ht="12.75">
      <c r="A350" s="45" t="s">
        <v>247</v>
      </c>
      <c r="B350" s="45" t="s">
        <v>76</v>
      </c>
      <c r="C350" s="45" t="s">
        <v>400</v>
      </c>
      <c r="D350" s="162" t="s">
        <v>586</v>
      </c>
      <c r="E350" s="163"/>
      <c r="F350" s="45" t="s">
        <v>598</v>
      </c>
      <c r="G350" s="55">
        <v>9</v>
      </c>
      <c r="H350" s="55">
        <v>0</v>
      </c>
    </row>
    <row r="351" spans="4:7" ht="12" customHeight="1">
      <c r="D351" s="176" t="s">
        <v>713</v>
      </c>
      <c r="E351" s="177"/>
      <c r="F351" s="177"/>
      <c r="G351" s="72">
        <v>3</v>
      </c>
    </row>
    <row r="352" spans="1:8" ht="12" customHeight="1">
      <c r="A352" s="45"/>
      <c r="B352" s="45"/>
      <c r="C352" s="45"/>
      <c r="D352" s="176" t="s">
        <v>713</v>
      </c>
      <c r="E352" s="177"/>
      <c r="F352" s="176"/>
      <c r="G352" s="72">
        <v>3</v>
      </c>
      <c r="H352" s="61"/>
    </row>
    <row r="353" spans="1:8" ht="12" customHeight="1">
      <c r="A353" s="45"/>
      <c r="B353" s="45"/>
      <c r="C353" s="45"/>
      <c r="D353" s="176" t="s">
        <v>713</v>
      </c>
      <c r="E353" s="177"/>
      <c r="F353" s="176"/>
      <c r="G353" s="72">
        <v>3</v>
      </c>
      <c r="H353" s="61"/>
    </row>
    <row r="354" spans="1:8" ht="12" customHeight="1">
      <c r="A354" s="45" t="s">
        <v>248</v>
      </c>
      <c r="B354" s="45" t="s">
        <v>76</v>
      </c>
      <c r="C354" s="45" t="s">
        <v>401</v>
      </c>
      <c r="D354" s="176" t="s">
        <v>763</v>
      </c>
      <c r="E354" s="177"/>
      <c r="F354" s="176"/>
      <c r="G354" s="72">
        <v>1</v>
      </c>
      <c r="H354" s="55">
        <v>0</v>
      </c>
    </row>
    <row r="355" spans="1:8" ht="12" customHeight="1">
      <c r="A355" s="45" t="s">
        <v>249</v>
      </c>
      <c r="B355" s="45" t="s">
        <v>76</v>
      </c>
      <c r="C355" s="45" t="s">
        <v>402</v>
      </c>
      <c r="D355" s="176" t="s">
        <v>712</v>
      </c>
      <c r="E355" s="177"/>
      <c r="F355" s="176"/>
      <c r="G355" s="72">
        <v>1</v>
      </c>
      <c r="H355" s="55">
        <v>0</v>
      </c>
    </row>
    <row r="356" spans="1:8" ht="12.75">
      <c r="A356" s="45" t="s">
        <v>55</v>
      </c>
      <c r="B356" s="45" t="s">
        <v>71</v>
      </c>
      <c r="C356" s="45" t="s">
        <v>328</v>
      </c>
      <c r="D356" s="162" t="s">
        <v>508</v>
      </c>
      <c r="E356" s="163"/>
      <c r="F356" s="45" t="s">
        <v>594</v>
      </c>
      <c r="G356" s="55">
        <v>12</v>
      </c>
      <c r="H356" s="55">
        <v>0</v>
      </c>
    </row>
    <row r="357" spans="4:7" ht="12" customHeight="1">
      <c r="D357" s="176" t="s">
        <v>717</v>
      </c>
      <c r="E357" s="177"/>
      <c r="F357" s="177"/>
      <c r="G357" s="72">
        <v>4</v>
      </c>
    </row>
    <row r="358" spans="1:8" ht="12" customHeight="1">
      <c r="A358" s="45"/>
      <c r="B358" s="45"/>
      <c r="C358" s="45"/>
      <c r="D358" s="176" t="s">
        <v>717</v>
      </c>
      <c r="E358" s="177"/>
      <c r="F358" s="176"/>
      <c r="G358" s="72">
        <v>4</v>
      </c>
      <c r="H358" s="61"/>
    </row>
    <row r="359" spans="1:8" ht="12" customHeight="1">
      <c r="A359" s="45"/>
      <c r="B359" s="45"/>
      <c r="C359" s="45"/>
      <c r="D359" s="176" t="s">
        <v>717</v>
      </c>
      <c r="E359" s="177"/>
      <c r="F359" s="176"/>
      <c r="G359" s="72">
        <v>4</v>
      </c>
      <c r="H359" s="61"/>
    </row>
    <row r="361" ht="11.25" customHeight="1">
      <c r="A361" s="32" t="s">
        <v>18</v>
      </c>
    </row>
    <row r="362" spans="1:7" ht="25.5" customHeight="1">
      <c r="A362" s="88" t="s">
        <v>77</v>
      </c>
      <c r="B362" s="80"/>
      <c r="C362" s="80"/>
      <c r="D362" s="80"/>
      <c r="E362" s="80"/>
      <c r="F362" s="80"/>
      <c r="G362" s="80"/>
    </row>
  </sheetData>
  <sheetProtection/>
  <mergeCells count="368">
    <mergeCell ref="D358:F358"/>
    <mergeCell ref="D359:F359"/>
    <mergeCell ref="A362:G362"/>
    <mergeCell ref="D352:F352"/>
    <mergeCell ref="D353:F353"/>
    <mergeCell ref="D354:F354"/>
    <mergeCell ref="D355:F355"/>
    <mergeCell ref="D356:E356"/>
    <mergeCell ref="D357:F357"/>
    <mergeCell ref="D346:F346"/>
    <mergeCell ref="D347:F347"/>
    <mergeCell ref="D348:F348"/>
    <mergeCell ref="D349:F349"/>
    <mergeCell ref="D350:E350"/>
    <mergeCell ref="D351:F351"/>
    <mergeCell ref="D340:E340"/>
    <mergeCell ref="D341:F341"/>
    <mergeCell ref="D342:F342"/>
    <mergeCell ref="D343:E343"/>
    <mergeCell ref="D344:F344"/>
    <mergeCell ref="D345:F345"/>
    <mergeCell ref="D334:F334"/>
    <mergeCell ref="D335:E335"/>
    <mergeCell ref="D336:F336"/>
    <mergeCell ref="D337:F337"/>
    <mergeCell ref="D338:F338"/>
    <mergeCell ref="D339:F339"/>
    <mergeCell ref="D328:F328"/>
    <mergeCell ref="D329:F329"/>
    <mergeCell ref="D330:F330"/>
    <mergeCell ref="D331:F331"/>
    <mergeCell ref="D332:F332"/>
    <mergeCell ref="D333:F333"/>
    <mergeCell ref="D322:F322"/>
    <mergeCell ref="D323:F323"/>
    <mergeCell ref="D324:F324"/>
    <mergeCell ref="D325:F325"/>
    <mergeCell ref="D326:F326"/>
    <mergeCell ref="D327:E327"/>
    <mergeCell ref="D316:F316"/>
    <mergeCell ref="D317:F317"/>
    <mergeCell ref="D318:F318"/>
    <mergeCell ref="D319:F319"/>
    <mergeCell ref="D320:E320"/>
    <mergeCell ref="D321:F321"/>
    <mergeCell ref="D310:F310"/>
    <mergeCell ref="D311:F311"/>
    <mergeCell ref="D312:F312"/>
    <mergeCell ref="D313:F313"/>
    <mergeCell ref="D314:F314"/>
    <mergeCell ref="D315:F315"/>
    <mergeCell ref="D304:F304"/>
    <mergeCell ref="D305:F305"/>
    <mergeCell ref="D306:F306"/>
    <mergeCell ref="D307:F307"/>
    <mergeCell ref="D308:F308"/>
    <mergeCell ref="D309:E309"/>
    <mergeCell ref="D298:F298"/>
    <mergeCell ref="D299:F299"/>
    <mergeCell ref="D300:E300"/>
    <mergeCell ref="D301:F301"/>
    <mergeCell ref="D302:F302"/>
    <mergeCell ref="D303:F303"/>
    <mergeCell ref="D292:F292"/>
    <mergeCell ref="D293:F293"/>
    <mergeCell ref="D294:E294"/>
    <mergeCell ref="D295:F295"/>
    <mergeCell ref="D296:F296"/>
    <mergeCell ref="D297:F297"/>
    <mergeCell ref="D286:F286"/>
    <mergeCell ref="D287:F287"/>
    <mergeCell ref="D288:F288"/>
    <mergeCell ref="D289:F289"/>
    <mergeCell ref="D290:E290"/>
    <mergeCell ref="D291:F291"/>
    <mergeCell ref="D280:F280"/>
    <mergeCell ref="D281:F281"/>
    <mergeCell ref="D282:E282"/>
    <mergeCell ref="D283:F283"/>
    <mergeCell ref="D284:F284"/>
    <mergeCell ref="D285:F285"/>
    <mergeCell ref="D274:F274"/>
    <mergeCell ref="D275:F275"/>
    <mergeCell ref="D276:F276"/>
    <mergeCell ref="D277:F277"/>
    <mergeCell ref="D278:F278"/>
    <mergeCell ref="D279:E279"/>
    <mergeCell ref="D268:F268"/>
    <mergeCell ref="D269:E269"/>
    <mergeCell ref="D270:F270"/>
    <mergeCell ref="D271:F271"/>
    <mergeCell ref="D272:F272"/>
    <mergeCell ref="D273:F273"/>
    <mergeCell ref="D262:F262"/>
    <mergeCell ref="D263:F263"/>
    <mergeCell ref="D264:F264"/>
    <mergeCell ref="D265:F265"/>
    <mergeCell ref="D266:F266"/>
    <mergeCell ref="D267:F267"/>
    <mergeCell ref="D256:F256"/>
    <mergeCell ref="D257:F257"/>
    <mergeCell ref="D258:F258"/>
    <mergeCell ref="D259:F259"/>
    <mergeCell ref="D260:E260"/>
    <mergeCell ref="D261:F261"/>
    <mergeCell ref="D250:F250"/>
    <mergeCell ref="D251:F251"/>
    <mergeCell ref="D252:E252"/>
    <mergeCell ref="D253:F253"/>
    <mergeCell ref="D254:F254"/>
    <mergeCell ref="D255:F255"/>
    <mergeCell ref="D244:E244"/>
    <mergeCell ref="D245:F245"/>
    <mergeCell ref="D246:F246"/>
    <mergeCell ref="D247:F247"/>
    <mergeCell ref="D248:F248"/>
    <mergeCell ref="D249:F249"/>
    <mergeCell ref="D238:E238"/>
    <mergeCell ref="D239:F239"/>
    <mergeCell ref="D240:F240"/>
    <mergeCell ref="D241:F241"/>
    <mergeCell ref="D242:F242"/>
    <mergeCell ref="D243:F243"/>
    <mergeCell ref="D232:F232"/>
    <mergeCell ref="D233:F233"/>
    <mergeCell ref="D234:F234"/>
    <mergeCell ref="D235:F235"/>
    <mergeCell ref="D236:F236"/>
    <mergeCell ref="D237:F237"/>
    <mergeCell ref="D226:E226"/>
    <mergeCell ref="D227:F227"/>
    <mergeCell ref="D228:F228"/>
    <mergeCell ref="D229:F229"/>
    <mergeCell ref="D230:E230"/>
    <mergeCell ref="D231:F231"/>
    <mergeCell ref="D220:F220"/>
    <mergeCell ref="D221:F221"/>
    <mergeCell ref="D222:E222"/>
    <mergeCell ref="D223:F223"/>
    <mergeCell ref="D224:F224"/>
    <mergeCell ref="D225:F225"/>
    <mergeCell ref="D214:E214"/>
    <mergeCell ref="D215:F215"/>
    <mergeCell ref="D216:F216"/>
    <mergeCell ref="D217:F217"/>
    <mergeCell ref="D218:E218"/>
    <mergeCell ref="D219:F219"/>
    <mergeCell ref="D208:F208"/>
    <mergeCell ref="D209:F209"/>
    <mergeCell ref="D210:E210"/>
    <mergeCell ref="D211:F211"/>
    <mergeCell ref="D212:F212"/>
    <mergeCell ref="D213:F213"/>
    <mergeCell ref="D202:F202"/>
    <mergeCell ref="D203:F203"/>
    <mergeCell ref="D204:E204"/>
    <mergeCell ref="D205:F205"/>
    <mergeCell ref="D206:F206"/>
    <mergeCell ref="D207:F207"/>
    <mergeCell ref="D196:E196"/>
    <mergeCell ref="D197:F197"/>
    <mergeCell ref="D198:F198"/>
    <mergeCell ref="D199:F199"/>
    <mergeCell ref="D200:E200"/>
    <mergeCell ref="D201:F201"/>
    <mergeCell ref="D190:F190"/>
    <mergeCell ref="D191:F191"/>
    <mergeCell ref="D192:E192"/>
    <mergeCell ref="D193:F193"/>
    <mergeCell ref="D194:F194"/>
    <mergeCell ref="D195:F195"/>
    <mergeCell ref="D184:F184"/>
    <mergeCell ref="D185:F185"/>
    <mergeCell ref="D186:F186"/>
    <mergeCell ref="D187:F187"/>
    <mergeCell ref="D188:E188"/>
    <mergeCell ref="D189:F189"/>
    <mergeCell ref="D178:F178"/>
    <mergeCell ref="D179:E179"/>
    <mergeCell ref="D180:F180"/>
    <mergeCell ref="D181:F181"/>
    <mergeCell ref="D182:F182"/>
    <mergeCell ref="D183:E183"/>
    <mergeCell ref="D172:F172"/>
    <mergeCell ref="D173:E173"/>
    <mergeCell ref="D174:F174"/>
    <mergeCell ref="D175:F175"/>
    <mergeCell ref="D176:F176"/>
    <mergeCell ref="D177:F177"/>
    <mergeCell ref="D166:F166"/>
    <mergeCell ref="D167:F167"/>
    <mergeCell ref="D168:F168"/>
    <mergeCell ref="D169:E169"/>
    <mergeCell ref="D170:F170"/>
    <mergeCell ref="D171:F171"/>
    <mergeCell ref="D160:F160"/>
    <mergeCell ref="D161:E161"/>
    <mergeCell ref="D162:F162"/>
    <mergeCell ref="D163:F163"/>
    <mergeCell ref="D164:F164"/>
    <mergeCell ref="D165:E165"/>
    <mergeCell ref="D154:F154"/>
    <mergeCell ref="D155:F155"/>
    <mergeCell ref="D156:F156"/>
    <mergeCell ref="D157:E157"/>
    <mergeCell ref="D158:F158"/>
    <mergeCell ref="D159:F159"/>
    <mergeCell ref="D148:E148"/>
    <mergeCell ref="D149:F149"/>
    <mergeCell ref="D150:F150"/>
    <mergeCell ref="D151:F151"/>
    <mergeCell ref="D152:E152"/>
    <mergeCell ref="D153:F153"/>
    <mergeCell ref="D142:F142"/>
    <mergeCell ref="D143:F143"/>
    <mergeCell ref="D144:E144"/>
    <mergeCell ref="D145:F145"/>
    <mergeCell ref="D146:F146"/>
    <mergeCell ref="D147:F147"/>
    <mergeCell ref="D136:E136"/>
    <mergeCell ref="D137:F137"/>
    <mergeCell ref="D138:F138"/>
    <mergeCell ref="D139:F139"/>
    <mergeCell ref="D140:E140"/>
    <mergeCell ref="D141:F141"/>
    <mergeCell ref="D130:F130"/>
    <mergeCell ref="D131:F131"/>
    <mergeCell ref="D132:E132"/>
    <mergeCell ref="D133:F133"/>
    <mergeCell ref="D134:F134"/>
    <mergeCell ref="D135:F135"/>
    <mergeCell ref="D124:F124"/>
    <mergeCell ref="D125:F125"/>
    <mergeCell ref="D126:F126"/>
    <mergeCell ref="D127:E127"/>
    <mergeCell ref="D128:F128"/>
    <mergeCell ref="D129:F129"/>
    <mergeCell ref="D118:F118"/>
    <mergeCell ref="D119:E119"/>
    <mergeCell ref="D120:F120"/>
    <mergeCell ref="D121:F121"/>
    <mergeCell ref="D122:F122"/>
    <mergeCell ref="D123:E123"/>
    <mergeCell ref="D112:F112"/>
    <mergeCell ref="D113:F113"/>
    <mergeCell ref="D114:F114"/>
    <mergeCell ref="D115:E115"/>
    <mergeCell ref="D116:F116"/>
    <mergeCell ref="D117:F117"/>
    <mergeCell ref="D106:F106"/>
    <mergeCell ref="D107:F107"/>
    <mergeCell ref="D108:F108"/>
    <mergeCell ref="D109:F109"/>
    <mergeCell ref="D110:E110"/>
    <mergeCell ref="D111:F111"/>
    <mergeCell ref="D100:F100"/>
    <mergeCell ref="D101:F101"/>
    <mergeCell ref="D102:E102"/>
    <mergeCell ref="D103:F103"/>
    <mergeCell ref="D104:F104"/>
    <mergeCell ref="D105:F105"/>
    <mergeCell ref="D94:F94"/>
    <mergeCell ref="D95:F95"/>
    <mergeCell ref="D96:F96"/>
    <mergeCell ref="D97:F97"/>
    <mergeCell ref="D98:F98"/>
    <mergeCell ref="D99:E99"/>
    <mergeCell ref="D88:F88"/>
    <mergeCell ref="D89:F89"/>
    <mergeCell ref="D90:F90"/>
    <mergeCell ref="D91:F91"/>
    <mergeCell ref="D92:E92"/>
    <mergeCell ref="D93:F93"/>
    <mergeCell ref="D82:F82"/>
    <mergeCell ref="D83:F83"/>
    <mergeCell ref="D84:F84"/>
    <mergeCell ref="D85:F85"/>
    <mergeCell ref="D86:E86"/>
    <mergeCell ref="D87:F87"/>
    <mergeCell ref="D76:F76"/>
    <mergeCell ref="D77:E77"/>
    <mergeCell ref="D78:F78"/>
    <mergeCell ref="D79:F79"/>
    <mergeCell ref="D80:F80"/>
    <mergeCell ref="D81:E81"/>
    <mergeCell ref="D70:F70"/>
    <mergeCell ref="D71:F71"/>
    <mergeCell ref="D72:E72"/>
    <mergeCell ref="D73:F73"/>
    <mergeCell ref="D74:F74"/>
    <mergeCell ref="D75:F75"/>
    <mergeCell ref="D64:E64"/>
    <mergeCell ref="D65:F65"/>
    <mergeCell ref="D66:F66"/>
    <mergeCell ref="D67:F67"/>
    <mergeCell ref="D68:E68"/>
    <mergeCell ref="D69:F69"/>
    <mergeCell ref="D58:F58"/>
    <mergeCell ref="D59:F59"/>
    <mergeCell ref="D60:F60"/>
    <mergeCell ref="D61:F61"/>
    <mergeCell ref="D62:F62"/>
    <mergeCell ref="D63:F63"/>
    <mergeCell ref="D52:F52"/>
    <mergeCell ref="D53:F53"/>
    <mergeCell ref="D54:F54"/>
    <mergeCell ref="D55:F55"/>
    <mergeCell ref="D56:F56"/>
    <mergeCell ref="D57:E57"/>
    <mergeCell ref="D46:F46"/>
    <mergeCell ref="D47:F47"/>
    <mergeCell ref="D48:F48"/>
    <mergeCell ref="D49:F49"/>
    <mergeCell ref="D50:F50"/>
    <mergeCell ref="D51:E51"/>
    <mergeCell ref="D40:E40"/>
    <mergeCell ref="D41:F41"/>
    <mergeCell ref="D42:F42"/>
    <mergeCell ref="D43:F43"/>
    <mergeCell ref="D44:F44"/>
    <mergeCell ref="D45:F45"/>
    <mergeCell ref="D34:F34"/>
    <mergeCell ref="D35:F35"/>
    <mergeCell ref="D36:F36"/>
    <mergeCell ref="D37:E37"/>
    <mergeCell ref="D38:F38"/>
    <mergeCell ref="D39:F39"/>
    <mergeCell ref="D28:E28"/>
    <mergeCell ref="D29:F29"/>
    <mergeCell ref="D30:F30"/>
    <mergeCell ref="D31:F31"/>
    <mergeCell ref="D32:F32"/>
    <mergeCell ref="D33:F33"/>
    <mergeCell ref="D22:F22"/>
    <mergeCell ref="D23:F23"/>
    <mergeCell ref="D24:E24"/>
    <mergeCell ref="D25:F25"/>
    <mergeCell ref="D26:F26"/>
    <mergeCell ref="D27:F27"/>
    <mergeCell ref="D16:F16"/>
    <mergeCell ref="D17:F17"/>
    <mergeCell ref="D18:F18"/>
    <mergeCell ref="D19:E19"/>
    <mergeCell ref="D20:F20"/>
    <mergeCell ref="D21:F21"/>
    <mergeCell ref="D10:E10"/>
    <mergeCell ref="D11:E11"/>
    <mergeCell ref="D12:F12"/>
    <mergeCell ref="D13:F13"/>
    <mergeCell ref="D14:F14"/>
    <mergeCell ref="D15:E15"/>
    <mergeCell ref="A6:B7"/>
    <mergeCell ref="C6:D7"/>
    <mergeCell ref="E6:E7"/>
    <mergeCell ref="F6:H7"/>
    <mergeCell ref="A8:B9"/>
    <mergeCell ref="C8:D9"/>
    <mergeCell ref="E8:E9"/>
    <mergeCell ref="F8:H9"/>
    <mergeCell ref="A1:H1"/>
    <mergeCell ref="A2:B3"/>
    <mergeCell ref="C2:D3"/>
    <mergeCell ref="E2:E3"/>
    <mergeCell ref="F2:H3"/>
    <mergeCell ref="A4:B5"/>
    <mergeCell ref="C4:D5"/>
    <mergeCell ref="E4:E5"/>
    <mergeCell ref="F4:H5"/>
  </mergeCells>
  <printOptions horizontalCentered="1"/>
  <pageMargins left="0.7874015748031497" right="0.3937007874015748" top="0.5905511811023623" bottom="0.5905511811023623" header="0.5118110236220472" footer="0.5118110236220472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cp:lastPrinted>2019-04-30T06:05:15Z</cp:lastPrinted>
  <dcterms:created xsi:type="dcterms:W3CDTF">2019-04-30T06:59:56Z</dcterms:created>
  <dcterms:modified xsi:type="dcterms:W3CDTF">2019-04-30T06:59:56Z</dcterms:modified>
  <cp:category/>
  <cp:version/>
  <cp:contentType/>
  <cp:contentStatus/>
</cp:coreProperties>
</file>